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mc:AlternateContent xmlns:mc="http://schemas.openxmlformats.org/markup-compatibility/2006">
    <mc:Choice Requires="x15">
      <x15ac:absPath xmlns:x15ac="http://schemas.microsoft.com/office/spreadsheetml/2010/11/ac" url="/Users/nm/Library/Containers/com.apple.mail/Data/Library/Mail Downloads/AAA733B9-4EDF-423A-8F46-D3AB30F5CD1B/"/>
    </mc:Choice>
  </mc:AlternateContent>
  <xr:revisionPtr revIDLastSave="0" documentId="13_ncr:1_{7CA1E457-3A72-BB44-B263-6D7AEFDFDB22}" xr6:coauthVersionLast="47" xr6:coauthVersionMax="47" xr10:uidLastSave="{00000000-0000-0000-0000-000000000000}"/>
  <bookViews>
    <workbookView xWindow="0" yWindow="500" windowWidth="20740" windowHeight="11760" activeTab="1" xr2:uid="{00000000-000D-0000-FFFF-FFFF00000000}"/>
  </bookViews>
  <sheets>
    <sheet name="Balance Sheet" sheetId="18" r:id="rId1"/>
    <sheet name="BUDGET" sheetId="13" r:id="rId2"/>
    <sheet name="NOTES" sheetId="3" r:id="rId3"/>
    <sheet name="Deferred Maintenance" sheetId="14" r:id="rId4"/>
    <sheet name="Communications" sheetId="5" r:id="rId5"/>
    <sheet name="P&amp;D 1" sheetId="15" r:id="rId6"/>
    <sheet name="P&amp;D 2" sheetId="17" r:id="rId7"/>
    <sheet name="Social" sheetId="7" r:id="rId8"/>
    <sheet name="Member Selection" sheetId="10" r:id="rId9"/>
    <sheet name="Member Involvement" sheetId="11" r:id="rId10"/>
    <sheet name="Education" sheetId="16" r:id="rId11"/>
  </sheets>
  <externalReferences>
    <externalReference r:id="rId12"/>
    <externalReference r:id="rId13"/>
    <externalReference r:id="rId14"/>
  </externalReferences>
  <definedNames>
    <definedName name="_gjdgxs" localSheetId="7">Social!$A$11</definedName>
    <definedName name="_xlnm.Print_Area" localSheetId="1">BUDGET!$B$1:$AE$175</definedName>
    <definedName name="_xlnm.Print_Titles" localSheetId="1">BUDGET!$1:$1</definedName>
    <definedName name="_xlnm.Print_Titles" localSheetId="3">'Deferred Maintenance'!$3:$3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71" i="13" l="1"/>
  <c r="AC171" i="13"/>
  <c r="AB171" i="13"/>
  <c r="AD174" i="13"/>
  <c r="AC174" i="13"/>
  <c r="AB174" i="13"/>
  <c r="AD94" i="13"/>
  <c r="AD95" i="13" s="1"/>
  <c r="AD87" i="13"/>
  <c r="AD88" i="13" s="1"/>
  <c r="AC94" i="13"/>
  <c r="AC95" i="13" s="1"/>
  <c r="AC87" i="13"/>
  <c r="AC88" i="13" s="1"/>
  <c r="AB94" i="13"/>
  <c r="AB95" i="13" s="1"/>
  <c r="AB87" i="13"/>
  <c r="AB88" i="13" s="1"/>
  <c r="AB160" i="13"/>
  <c r="AB167" i="13" s="1"/>
  <c r="AB142" i="13"/>
  <c r="AB113" i="13"/>
  <c r="AB51" i="13"/>
  <c r="AB29" i="13"/>
  <c r="Z10" i="13"/>
  <c r="Z9" i="13"/>
  <c r="Z8" i="13"/>
  <c r="Z7" i="13"/>
  <c r="Z6" i="13"/>
  <c r="Z5" i="13"/>
  <c r="Z4" i="13"/>
  <c r="AB144" i="13" l="1"/>
  <c r="AB164" i="13" s="1"/>
  <c r="AD160" i="13" l="1"/>
  <c r="AD167" i="13" s="1"/>
  <c r="AD142" i="13"/>
  <c r="AD113" i="13"/>
  <c r="AD51" i="13"/>
  <c r="AD29" i="13"/>
  <c r="AD144" i="13" l="1"/>
  <c r="AD164" i="13" s="1"/>
  <c r="AC29" i="13" l="1"/>
  <c r="AC51" i="13"/>
  <c r="AC113" i="13"/>
  <c r="AC142" i="13"/>
  <c r="AC160" i="13"/>
  <c r="AC167" i="13" s="1"/>
  <c r="D36" i="18"/>
  <c r="C34" i="18"/>
  <c r="C33" i="18"/>
  <c r="C36" i="18" s="1"/>
  <c r="D28" i="18"/>
  <c r="D29" i="18" s="1"/>
  <c r="D38" i="18" s="1"/>
  <c r="D24" i="18"/>
  <c r="C24" i="18"/>
  <c r="C29" i="18" s="1"/>
  <c r="C38" i="18" s="1"/>
  <c r="C20" i="18"/>
  <c r="D13" i="18"/>
  <c r="D21" i="18" s="1"/>
  <c r="D41" i="18" s="1"/>
  <c r="C10" i="18"/>
  <c r="C13" i="18" s="1"/>
  <c r="D115" i="17"/>
  <c r="E114" i="17"/>
  <c r="E115" i="17" s="1"/>
  <c r="D114" i="17"/>
  <c r="C114" i="17"/>
  <c r="C115" i="17" s="1"/>
  <c r="D108" i="17"/>
  <c r="E107" i="17"/>
  <c r="E108" i="17" s="1"/>
  <c r="D107" i="17"/>
  <c r="C107" i="17"/>
  <c r="C108" i="17" s="1"/>
  <c r="E90" i="17"/>
  <c r="C90" i="17"/>
  <c r="E89" i="17"/>
  <c r="D89" i="17"/>
  <c r="D90" i="17" s="1"/>
  <c r="C89" i="17"/>
  <c r="E83" i="17"/>
  <c r="E92" i="17" s="1"/>
  <c r="C83" i="17"/>
  <c r="C92" i="17" s="1"/>
  <c r="E82" i="17"/>
  <c r="D82" i="17"/>
  <c r="D83" i="17" s="1"/>
  <c r="C82" i="17"/>
  <c r="E70" i="17"/>
  <c r="C70" i="17"/>
  <c r="E69" i="17"/>
  <c r="D69" i="17"/>
  <c r="D70" i="17" s="1"/>
  <c r="C69" i="17"/>
  <c r="E60" i="17"/>
  <c r="C60" i="17"/>
  <c r="E59" i="17"/>
  <c r="D59" i="17"/>
  <c r="D58" i="17"/>
  <c r="D60" i="17" s="1"/>
  <c r="C17" i="17" s="1"/>
  <c r="E52" i="17"/>
  <c r="E51" i="17"/>
  <c r="D50" i="17"/>
  <c r="C50" i="17"/>
  <c r="D49" i="17"/>
  <c r="C49" i="17"/>
  <c r="D48" i="17"/>
  <c r="C48" i="17"/>
  <c r="D47" i="17"/>
  <c r="C47" i="17"/>
  <c r="D46" i="17"/>
  <c r="C46" i="17"/>
  <c r="D45" i="17"/>
  <c r="C45" i="17"/>
  <c r="D44" i="17"/>
  <c r="C44" i="17"/>
  <c r="D43" i="17"/>
  <c r="C43" i="17"/>
  <c r="D42" i="17"/>
  <c r="C42" i="17"/>
  <c r="D41" i="17"/>
  <c r="C41" i="17"/>
  <c r="C51" i="17" s="1"/>
  <c r="C52" i="17" s="1"/>
  <c r="C72" i="17" s="1"/>
  <c r="E36" i="17"/>
  <c r="E37" i="17" s="1"/>
  <c r="C15" i="17" s="1"/>
  <c r="C36" i="17"/>
  <c r="C37" i="17" s="1"/>
  <c r="C18" i="17"/>
  <c r="C11" i="17"/>
  <c r="AC144" i="13" l="1"/>
  <c r="AC164" i="13" s="1"/>
  <c r="C15" i="18"/>
  <c r="C21" i="18"/>
  <c r="C41" i="18" s="1"/>
  <c r="D15" i="18"/>
  <c r="D92" i="17"/>
  <c r="D51" i="17"/>
  <c r="D52" i="17" s="1"/>
  <c r="D72" i="17" l="1"/>
  <c r="C16" i="17"/>
  <c r="C19" i="17" s="1"/>
  <c r="C21" i="17" s="1"/>
  <c r="Z43" i="13" l="1"/>
  <c r="Z42" i="13"/>
  <c r="L41" i="3" l="1"/>
  <c r="Z175" i="13"/>
  <c r="Z174" i="13"/>
  <c r="Z172" i="13"/>
  <c r="Z171" i="13"/>
  <c r="Z158" i="13"/>
  <c r="Z157" i="13"/>
  <c r="Z156" i="13"/>
  <c r="Z155" i="13"/>
  <c r="Z154" i="13"/>
  <c r="Z153" i="13"/>
  <c r="Z152" i="13"/>
  <c r="Z151" i="13"/>
  <c r="Z150" i="13"/>
  <c r="Z149" i="13"/>
  <c r="Z148" i="13"/>
  <c r="Z141" i="13"/>
  <c r="Z140" i="13"/>
  <c r="Z139" i="13"/>
  <c r="Z138" i="13"/>
  <c r="Z136" i="13"/>
  <c r="Z135" i="13"/>
  <c r="Z134" i="13"/>
  <c r="Z133" i="13"/>
  <c r="Z132" i="13"/>
  <c r="Z131" i="13"/>
  <c r="Z130" i="13"/>
  <c r="Z129" i="13"/>
  <c r="Z128" i="13"/>
  <c r="Z127" i="13"/>
  <c r="Z126" i="13"/>
  <c r="Z125" i="13"/>
  <c r="Z124" i="13"/>
  <c r="Z123" i="13"/>
  <c r="Z122" i="13"/>
  <c r="Z121" i="13"/>
  <c r="Z120" i="13"/>
  <c r="Z119" i="13"/>
  <c r="Z118" i="13"/>
  <c r="Z117" i="13"/>
  <c r="Z116" i="13"/>
  <c r="Z112" i="13"/>
  <c r="Z111" i="13"/>
  <c r="Z110" i="13"/>
  <c r="Z109" i="13"/>
  <c r="Z108" i="13"/>
  <c r="Z107" i="13"/>
  <c r="Z106" i="13"/>
  <c r="Z105" i="13"/>
  <c r="Z104" i="13"/>
  <c r="Z103" i="13"/>
  <c r="Z102" i="13"/>
  <c r="Z101" i="13"/>
  <c r="Z100" i="13"/>
  <c r="Z99" i="13"/>
  <c r="Z96" i="13"/>
  <c r="Z50" i="13"/>
  <c r="Z49" i="13"/>
  <c r="Z48" i="13"/>
  <c r="Z47" i="13"/>
  <c r="Z46" i="13"/>
  <c r="Z45" i="13"/>
  <c r="Z44" i="13"/>
  <c r="Z41" i="13"/>
  <c r="Z40" i="13"/>
  <c r="Z39" i="13"/>
  <c r="Z38" i="13"/>
  <c r="Z37" i="13"/>
  <c r="Z36" i="13"/>
  <c r="Z35" i="13"/>
  <c r="Z34" i="13"/>
  <c r="Z33" i="13"/>
  <c r="Z32" i="13"/>
  <c r="Z28" i="13"/>
  <c r="Z27" i="13"/>
  <c r="Z26" i="13"/>
  <c r="Z25" i="13"/>
  <c r="Z24" i="13"/>
  <c r="Z23" i="13"/>
  <c r="Z22" i="13"/>
  <c r="Z21" i="13"/>
  <c r="Z20" i="13"/>
  <c r="Z19" i="13"/>
  <c r="Z18" i="13"/>
  <c r="Z17" i="13"/>
  <c r="Z160" i="13" l="1"/>
  <c r="Z167" i="13" s="1"/>
  <c r="Z51" i="13"/>
  <c r="Z142" i="13"/>
  <c r="Z29" i="13"/>
  <c r="Z113" i="13"/>
  <c r="C29" i="7"/>
  <c r="C9" i="16"/>
  <c r="B9" i="16"/>
  <c r="Y160" i="13"/>
  <c r="Y167" i="13" s="1"/>
  <c r="Y142" i="13"/>
  <c r="Y113" i="13"/>
  <c r="Y51" i="13"/>
  <c r="Y29" i="13"/>
  <c r="Y12" i="13"/>
  <c r="Y163" i="13" s="1"/>
  <c r="C88" i="15"/>
  <c r="C89" i="15" s="1"/>
  <c r="D82" i="15"/>
  <c r="C82" i="15"/>
  <c r="C81" i="15"/>
  <c r="D69" i="15"/>
  <c r="D70" i="15" s="1"/>
  <c r="C69" i="15"/>
  <c r="C70" i="15" s="1"/>
  <c r="C60" i="15"/>
  <c r="D58" i="15"/>
  <c r="D59" i="15" s="1"/>
  <c r="D60" i="15" s="1"/>
  <c r="C17" i="15" s="1"/>
  <c r="D50" i="15"/>
  <c r="C50" i="15"/>
  <c r="D49" i="15"/>
  <c r="C49" i="15"/>
  <c r="D48" i="15"/>
  <c r="C48" i="15"/>
  <c r="D47" i="15"/>
  <c r="C47" i="15"/>
  <c r="D46" i="15"/>
  <c r="C46" i="15"/>
  <c r="D45" i="15"/>
  <c r="C45" i="15"/>
  <c r="D44" i="15"/>
  <c r="C44" i="15"/>
  <c r="D43" i="15"/>
  <c r="C43" i="15"/>
  <c r="D42" i="15"/>
  <c r="C42" i="15"/>
  <c r="D41" i="15"/>
  <c r="C41" i="15"/>
  <c r="E36" i="15"/>
  <c r="E37" i="15" s="1"/>
  <c r="C36" i="15"/>
  <c r="C37" i="15" s="1"/>
  <c r="C18" i="15"/>
  <c r="C11" i="15"/>
  <c r="D51" i="15" l="1"/>
  <c r="Z144" i="13"/>
  <c r="Z164" i="13" s="1"/>
  <c r="Y144" i="13"/>
  <c r="Y164" i="13" s="1"/>
  <c r="Y165" i="13" s="1"/>
  <c r="Y168" i="13" s="1"/>
  <c r="C91" i="15"/>
  <c r="D89" i="15"/>
  <c r="D91" i="15" s="1"/>
  <c r="D52" i="15"/>
  <c r="C51" i="15"/>
  <c r="C52" i="15" s="1"/>
  <c r="C72" i="15" s="1"/>
  <c r="C15" i="15"/>
  <c r="D72" i="15" l="1"/>
  <c r="C93" i="15" s="1"/>
  <c r="C16" i="15"/>
  <c r="C19" i="15" s="1"/>
  <c r="C21" i="15" s="1"/>
  <c r="C26" i="5" l="1"/>
  <c r="C23" i="5"/>
  <c r="C27" i="5" s="1"/>
  <c r="C17" i="5"/>
  <c r="C14" i="5"/>
  <c r="C18" i="5" s="1"/>
  <c r="C8" i="5"/>
  <c r="C5" i="5"/>
  <c r="C9" i="5" l="1"/>
  <c r="X160" i="13"/>
  <c r="X167" i="13" s="1"/>
  <c r="X142" i="13" l="1"/>
  <c r="X29" i="13"/>
  <c r="U113" i="13"/>
  <c r="V113" i="13"/>
  <c r="V142" i="13"/>
  <c r="U142" i="13"/>
  <c r="V29" i="13"/>
  <c r="V12" i="13"/>
  <c r="V163" i="13" s="1"/>
  <c r="X113" i="13" l="1"/>
  <c r="V160" i="13" l="1"/>
  <c r="V167" i="13" s="1"/>
  <c r="V51" i="13"/>
  <c r="V144" i="13" s="1"/>
  <c r="V164" i="13" s="1"/>
  <c r="V165" i="13" s="1"/>
  <c r="X51" i="13"/>
  <c r="X144" i="13" s="1"/>
  <c r="X164" i="13" s="1"/>
  <c r="V168" i="13" l="1"/>
  <c r="T99" i="13"/>
  <c r="U3" i="13"/>
  <c r="X3" i="13" l="1"/>
  <c r="S3" i="13"/>
  <c r="U160" i="13"/>
  <c r="U167" i="13" s="1"/>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16" i="13"/>
  <c r="S100" i="13"/>
  <c r="S101" i="13"/>
  <c r="S102" i="13"/>
  <c r="S103" i="13"/>
  <c r="S104" i="13"/>
  <c r="S105" i="13"/>
  <c r="S106" i="13"/>
  <c r="S107" i="13"/>
  <c r="S108" i="13"/>
  <c r="S109" i="13"/>
  <c r="S110" i="13"/>
  <c r="S99" i="13"/>
  <c r="S50" i="13"/>
  <c r="S49" i="13"/>
  <c r="S48" i="13"/>
  <c r="S47" i="13"/>
  <c r="S46" i="13"/>
  <c r="S45" i="13"/>
  <c r="S44" i="13"/>
  <c r="S41" i="13"/>
  <c r="S40" i="13"/>
  <c r="S39" i="13"/>
  <c r="S38" i="13"/>
  <c r="S37" i="13"/>
  <c r="S36" i="13"/>
  <c r="S35" i="13"/>
  <c r="S34" i="13"/>
  <c r="S33" i="13"/>
  <c r="S32" i="13"/>
  <c r="R113" i="13"/>
  <c r="Q113" i="13"/>
  <c r="U22" i="13"/>
  <c r="U18" i="13"/>
  <c r="U9" i="13"/>
  <c r="U8" i="13"/>
  <c r="S28" i="13"/>
  <c r="S27" i="13"/>
  <c r="S26" i="13"/>
  <c r="S25" i="13"/>
  <c r="S24" i="13"/>
  <c r="S23" i="13"/>
  <c r="S22" i="13"/>
  <c r="S21" i="13"/>
  <c r="S20" i="13"/>
  <c r="S19" i="13"/>
  <c r="S18" i="13"/>
  <c r="S17" i="13"/>
  <c r="S9" i="13"/>
  <c r="S4" i="13"/>
  <c r="S5" i="13"/>
  <c r="S6" i="13"/>
  <c r="S7" i="13"/>
  <c r="S8" i="13"/>
  <c r="U7" i="13"/>
  <c r="U96" i="13"/>
  <c r="U51" i="13"/>
  <c r="AC3" i="13" l="1"/>
  <c r="AC12" i="13" s="1"/>
  <c r="AC163" i="13" s="1"/>
  <c r="AC165" i="13" s="1"/>
  <c r="AC168" i="13" s="1"/>
  <c r="AC172" i="13" s="1"/>
  <c r="AB3" i="13"/>
  <c r="AB12" i="13" s="1"/>
  <c r="AB163" i="13" s="1"/>
  <c r="AB165" i="13" s="1"/>
  <c r="AB168" i="13" s="1"/>
  <c r="AB172" i="13" s="1"/>
  <c r="AD3" i="13"/>
  <c r="Z3" i="13"/>
  <c r="X12" i="13"/>
  <c r="X163" i="13" s="1"/>
  <c r="X165" i="13" s="1"/>
  <c r="X168" i="13" s="1"/>
  <c r="Z168" i="13" s="1"/>
  <c r="U29" i="13"/>
  <c r="S113" i="13"/>
  <c r="U12" i="13"/>
  <c r="U163" i="13" s="1"/>
  <c r="R96" i="13"/>
  <c r="Z12" i="13" l="1"/>
  <c r="Z163" i="13" s="1"/>
  <c r="Z165" i="13" s="1"/>
  <c r="AD12" i="13"/>
  <c r="AD163" i="13" s="1"/>
  <c r="AD165" i="13" s="1"/>
  <c r="AD168" i="13" s="1"/>
  <c r="AD172" i="13" s="1"/>
  <c r="R160" i="13"/>
  <c r="R142" i="13"/>
  <c r="R51" i="13"/>
  <c r="R29" i="13"/>
  <c r="R12" i="13"/>
  <c r="I55" i="14"/>
  <c r="H55" i="14"/>
  <c r="F55" i="14"/>
  <c r="D55" i="14"/>
  <c r="N175" i="13"/>
  <c r="N174" i="13"/>
  <c r="N172" i="13"/>
  <c r="N171" i="13"/>
  <c r="N149" i="13"/>
  <c r="N150" i="13"/>
  <c r="N151" i="13"/>
  <c r="N152" i="13"/>
  <c r="N153" i="13"/>
  <c r="N154" i="13"/>
  <c r="N155" i="13"/>
  <c r="N156" i="13"/>
  <c r="N157" i="13"/>
  <c r="N158" i="13"/>
  <c r="N159" i="13"/>
  <c r="N148"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16" i="13"/>
  <c r="N100" i="13"/>
  <c r="N101" i="13"/>
  <c r="N102" i="13"/>
  <c r="N103" i="13"/>
  <c r="N104" i="13"/>
  <c r="N105" i="13"/>
  <c r="N106" i="13"/>
  <c r="N107" i="13"/>
  <c r="N108" i="13"/>
  <c r="N109" i="13"/>
  <c r="N110" i="13"/>
  <c r="N99" i="13"/>
  <c r="N33" i="13"/>
  <c r="N34" i="13"/>
  <c r="N35" i="13"/>
  <c r="N36" i="13"/>
  <c r="N37" i="13"/>
  <c r="N38" i="13"/>
  <c r="N39" i="13"/>
  <c r="N40" i="13"/>
  <c r="N41" i="13"/>
  <c r="N44" i="13"/>
  <c r="N45" i="13"/>
  <c r="N46" i="13"/>
  <c r="N47" i="13"/>
  <c r="N48" i="13"/>
  <c r="N49" i="13"/>
  <c r="N50" i="13"/>
  <c r="N32" i="13"/>
  <c r="N27" i="13"/>
  <c r="N28" i="13"/>
  <c r="N17" i="13"/>
  <c r="N18" i="13"/>
  <c r="N19" i="13"/>
  <c r="N20" i="13"/>
  <c r="N21" i="13"/>
  <c r="N22" i="13"/>
  <c r="N23" i="13"/>
  <c r="N24" i="13"/>
  <c r="N25" i="13"/>
  <c r="N26" i="13"/>
  <c r="N4" i="13"/>
  <c r="N5" i="13"/>
  <c r="N6" i="13"/>
  <c r="N7" i="13"/>
  <c r="N8" i="13"/>
  <c r="N9" i="13"/>
  <c r="N11" i="13"/>
  <c r="J175" i="13"/>
  <c r="F175" i="13"/>
  <c r="J174" i="13"/>
  <c r="F174" i="13"/>
  <c r="J173" i="13"/>
  <c r="J172" i="13"/>
  <c r="F172" i="13"/>
  <c r="J171" i="13"/>
  <c r="F171" i="13"/>
  <c r="D167" i="13"/>
  <c r="D163" i="13"/>
  <c r="Q160" i="13"/>
  <c r="M160" i="13"/>
  <c r="M167" i="13" s="1"/>
  <c r="L160" i="13"/>
  <c r="L167" i="13" s="1"/>
  <c r="I160" i="13"/>
  <c r="I167" i="13" s="1"/>
  <c r="H160" i="13"/>
  <c r="H167" i="13" s="1"/>
  <c r="E160" i="13"/>
  <c r="F160" i="13" s="1"/>
  <c r="F167" i="13" s="1"/>
  <c r="J159" i="13"/>
  <c r="J158" i="13"/>
  <c r="F158" i="13"/>
  <c r="J157" i="13"/>
  <c r="F157" i="13"/>
  <c r="J156" i="13"/>
  <c r="F156" i="13"/>
  <c r="J155" i="13"/>
  <c r="F155" i="13"/>
  <c r="J154" i="13"/>
  <c r="F154" i="13"/>
  <c r="J153" i="13"/>
  <c r="F153" i="13"/>
  <c r="J152" i="13"/>
  <c r="F152" i="13"/>
  <c r="J151" i="13"/>
  <c r="F151" i="13"/>
  <c r="J150" i="13"/>
  <c r="F150" i="13"/>
  <c r="J149" i="13"/>
  <c r="F149" i="13"/>
  <c r="J148" i="13"/>
  <c r="F148" i="13"/>
  <c r="Q142" i="13"/>
  <c r="M142" i="13"/>
  <c r="L142" i="13"/>
  <c r="I142" i="13"/>
  <c r="H142" i="13"/>
  <c r="E142" i="13"/>
  <c r="D142" i="13"/>
  <c r="J141" i="13"/>
  <c r="F141" i="13"/>
  <c r="J140" i="13"/>
  <c r="F140" i="13"/>
  <c r="J139" i="13"/>
  <c r="F139" i="13"/>
  <c r="J138" i="13"/>
  <c r="F138" i="13"/>
  <c r="J137" i="13"/>
  <c r="F137" i="13"/>
  <c r="J136" i="13"/>
  <c r="F136" i="13"/>
  <c r="J135" i="13"/>
  <c r="F135" i="13"/>
  <c r="J134" i="13"/>
  <c r="F134" i="13"/>
  <c r="J133" i="13"/>
  <c r="F133" i="13"/>
  <c r="J132" i="13"/>
  <c r="F132" i="13"/>
  <c r="J131" i="13"/>
  <c r="J130" i="13"/>
  <c r="F130" i="13"/>
  <c r="J129" i="13"/>
  <c r="F129" i="13"/>
  <c r="J128" i="13"/>
  <c r="F128" i="13"/>
  <c r="J127" i="13"/>
  <c r="F127" i="13"/>
  <c r="J126" i="13"/>
  <c r="F126" i="13"/>
  <c r="J125" i="13"/>
  <c r="F125" i="13"/>
  <c r="J124" i="13"/>
  <c r="F124" i="13"/>
  <c r="J123" i="13"/>
  <c r="F123" i="13"/>
  <c r="J122" i="13"/>
  <c r="F122" i="13"/>
  <c r="J121" i="13"/>
  <c r="F121" i="13"/>
  <c r="J120" i="13"/>
  <c r="F120" i="13"/>
  <c r="J119" i="13"/>
  <c r="F119" i="13"/>
  <c r="J118" i="13"/>
  <c r="F118" i="13"/>
  <c r="J117" i="13"/>
  <c r="F117" i="13"/>
  <c r="J116" i="13"/>
  <c r="F116" i="13"/>
  <c r="M113" i="13"/>
  <c r="L113" i="13"/>
  <c r="I113" i="13"/>
  <c r="H113" i="13"/>
  <c r="E113" i="13"/>
  <c r="D113" i="13"/>
  <c r="J110" i="13"/>
  <c r="F110" i="13"/>
  <c r="J107" i="13"/>
  <c r="F107" i="13"/>
  <c r="J106" i="13"/>
  <c r="F106" i="13"/>
  <c r="J105" i="13"/>
  <c r="F105" i="13"/>
  <c r="J104" i="13"/>
  <c r="F104" i="13"/>
  <c r="J103" i="13"/>
  <c r="F103" i="13"/>
  <c r="J102" i="13"/>
  <c r="F102" i="13"/>
  <c r="J101" i="13"/>
  <c r="F101" i="13"/>
  <c r="J100" i="13"/>
  <c r="F100" i="13"/>
  <c r="J99" i="13"/>
  <c r="F99" i="13"/>
  <c r="Q51" i="13"/>
  <c r="M51" i="13"/>
  <c r="L51" i="13"/>
  <c r="I51" i="13"/>
  <c r="E51" i="13"/>
  <c r="D51" i="13"/>
  <c r="H50" i="13"/>
  <c r="H51" i="13" s="1"/>
  <c r="F50" i="13"/>
  <c r="J49" i="13"/>
  <c r="F49" i="13"/>
  <c r="J48" i="13"/>
  <c r="F48" i="13"/>
  <c r="J47" i="13"/>
  <c r="J46" i="13"/>
  <c r="F46" i="13"/>
  <c r="J45" i="13"/>
  <c r="F45" i="13"/>
  <c r="J44" i="13"/>
  <c r="F44" i="13"/>
  <c r="J41" i="13"/>
  <c r="F41" i="13"/>
  <c r="J40" i="13"/>
  <c r="F40" i="13"/>
  <c r="J39" i="13"/>
  <c r="F39" i="13"/>
  <c r="J38" i="13"/>
  <c r="F38" i="13"/>
  <c r="J37" i="13"/>
  <c r="J36" i="13"/>
  <c r="J35" i="13"/>
  <c r="F35" i="13"/>
  <c r="J34" i="13"/>
  <c r="F34" i="13"/>
  <c r="J33" i="13"/>
  <c r="F33" i="13"/>
  <c r="J32" i="13"/>
  <c r="F32" i="13"/>
  <c r="Q29" i="13"/>
  <c r="M29" i="13"/>
  <c r="L29" i="13"/>
  <c r="I29" i="13"/>
  <c r="H29" i="13"/>
  <c r="F29" i="13"/>
  <c r="J28" i="13"/>
  <c r="F28" i="13"/>
  <c r="J27" i="13"/>
  <c r="F27" i="13"/>
  <c r="J26" i="13"/>
  <c r="F26" i="13"/>
  <c r="J25" i="13"/>
  <c r="F25" i="13"/>
  <c r="J24" i="13"/>
  <c r="F24" i="13"/>
  <c r="J23" i="13"/>
  <c r="F23" i="13"/>
  <c r="J22" i="13"/>
  <c r="F22" i="13"/>
  <c r="J21" i="13"/>
  <c r="F21" i="13"/>
  <c r="J20" i="13"/>
  <c r="F20" i="13"/>
  <c r="J19" i="13"/>
  <c r="F19" i="13"/>
  <c r="J18" i="13"/>
  <c r="F18" i="13"/>
  <c r="J17" i="13"/>
  <c r="F17" i="13"/>
  <c r="Q12" i="13"/>
  <c r="Q163" i="13" s="1"/>
  <c r="M12" i="13"/>
  <c r="M163" i="13" s="1"/>
  <c r="I12" i="13"/>
  <c r="I163" i="13" s="1"/>
  <c r="H12" i="13"/>
  <c r="E12" i="13"/>
  <c r="J9" i="13"/>
  <c r="F9" i="13"/>
  <c r="J8" i="13"/>
  <c r="F8" i="13"/>
  <c r="J7" i="13"/>
  <c r="F7" i="13"/>
  <c r="J6" i="13"/>
  <c r="F6" i="13"/>
  <c r="J5" i="13"/>
  <c r="F5" i="13"/>
  <c r="J4" i="13"/>
  <c r="F4" i="13"/>
  <c r="L3" i="13"/>
  <c r="N3" i="13" s="1"/>
  <c r="J3" i="13"/>
  <c r="F3" i="13"/>
  <c r="Q167" i="13" l="1"/>
  <c r="R167" i="13"/>
  <c r="F12" i="13"/>
  <c r="F163" i="13" s="1"/>
  <c r="E163" i="13"/>
  <c r="D144" i="13"/>
  <c r="D164" i="13" s="1"/>
  <c r="D165" i="13" s="1"/>
  <c r="D168" i="13" s="1"/>
  <c r="J113" i="13"/>
  <c r="N113" i="13"/>
  <c r="S142" i="13"/>
  <c r="S29" i="13"/>
  <c r="F142" i="13"/>
  <c r="R163" i="13"/>
  <c r="S12" i="13"/>
  <c r="S51" i="13"/>
  <c r="N142" i="13"/>
  <c r="L12" i="13"/>
  <c r="L163" i="13" s="1"/>
  <c r="N163" i="13" s="1"/>
  <c r="F113" i="13"/>
  <c r="E144" i="13"/>
  <c r="E164" i="13" s="1"/>
  <c r="N51" i="13"/>
  <c r="J12" i="13"/>
  <c r="N167" i="13"/>
  <c r="L144" i="13"/>
  <c r="L164" i="13" s="1"/>
  <c r="Q144" i="13"/>
  <c r="E167" i="13"/>
  <c r="N160" i="13"/>
  <c r="H163" i="13"/>
  <c r="J163" i="13" s="1"/>
  <c r="J167" i="13"/>
  <c r="R144" i="13"/>
  <c r="I144" i="13"/>
  <c r="I164" i="13" s="1"/>
  <c r="I165" i="13" s="1"/>
  <c r="I168" i="13" s="1"/>
  <c r="F51" i="13"/>
  <c r="J160" i="13"/>
  <c r="M144" i="13"/>
  <c r="M164" i="13" s="1"/>
  <c r="M165" i="13" s="1"/>
  <c r="M168" i="13" s="1"/>
  <c r="J142" i="13"/>
  <c r="H144" i="13"/>
  <c r="H164" i="13" s="1"/>
  <c r="J51" i="13"/>
  <c r="J29" i="13"/>
  <c r="J50" i="13"/>
  <c r="N29" i="13"/>
  <c r="R164" i="13" l="1"/>
  <c r="Q164" i="13"/>
  <c r="N12" i="13"/>
  <c r="E165" i="13"/>
  <c r="E168" i="13" s="1"/>
  <c r="F144" i="13"/>
  <c r="F164" i="13" s="1"/>
  <c r="F165" i="13" s="1"/>
  <c r="F168" i="13" s="1"/>
  <c r="J164" i="13"/>
  <c r="L165" i="13"/>
  <c r="N165" i="13" s="1"/>
  <c r="N164" i="13"/>
  <c r="H165" i="13"/>
  <c r="J165" i="13" s="1"/>
  <c r="J144" i="13"/>
  <c r="Q165" i="13" l="1"/>
  <c r="R165" i="13"/>
  <c r="L168" i="13"/>
  <c r="N168" i="13" s="1"/>
  <c r="H168" i="13"/>
  <c r="J168" i="13" s="1"/>
  <c r="U144" i="13"/>
  <c r="R168" i="13" l="1"/>
  <c r="Q168" i="13"/>
  <c r="U164" i="13"/>
  <c r="U165" i="13" l="1"/>
  <c r="U168" i="13" l="1"/>
</calcChain>
</file>

<file path=xl/sharedStrings.xml><?xml version="1.0" encoding="utf-8"?>
<sst xmlns="http://schemas.openxmlformats.org/spreadsheetml/2006/main" count="1067" uniqueCount="686">
  <si>
    <t>INCOME</t>
  </si>
  <si>
    <t>Economic housing charge</t>
  </si>
  <si>
    <t>Office rental income</t>
  </si>
  <si>
    <t>Member service charges</t>
  </si>
  <si>
    <t>Application fees, misc</t>
  </si>
  <si>
    <t>Interest income-operating</t>
  </si>
  <si>
    <t>Common shares interest</t>
  </si>
  <si>
    <t>Federal capital cont'n</t>
  </si>
  <si>
    <t>TOTAL INCOME</t>
  </si>
  <si>
    <t>OPERATING EXPENSES</t>
  </si>
  <si>
    <t>Total property expenses</t>
  </si>
  <si>
    <t>Total admin expenses</t>
  </si>
  <si>
    <t>TOTAL OPERATING EXPENSES</t>
  </si>
  <si>
    <t>Unit fund - opening</t>
  </si>
  <si>
    <t>Unit fund - closing</t>
  </si>
  <si>
    <t>Budget 2016 
(3%)</t>
  </si>
  <si>
    <t>Actuals 2016 
(3%)</t>
  </si>
  <si>
    <t>Variance</t>
  </si>
  <si>
    <t>NOTES</t>
  </si>
  <si>
    <t>See notes 1 &amp; 2</t>
  </si>
  <si>
    <t>fixed amount</t>
  </si>
  <si>
    <t>See note 4</t>
  </si>
  <si>
    <t>See note 5</t>
  </si>
  <si>
    <t>See note 6</t>
  </si>
  <si>
    <t>See note 7</t>
  </si>
  <si>
    <t>Property expenses</t>
  </si>
  <si>
    <t>See note 11</t>
  </si>
  <si>
    <t>Property taxes</t>
  </si>
  <si>
    <t>See note 13</t>
  </si>
  <si>
    <t>Buildings-depreciation</t>
  </si>
  <si>
    <t>See note 9</t>
  </si>
  <si>
    <t>Land lease-amortization</t>
  </si>
  <si>
    <t>See note 14</t>
  </si>
  <si>
    <t>Leaseholds-amortization</t>
  </si>
  <si>
    <t>Insurance</t>
  </si>
  <si>
    <t>See note 18</t>
  </si>
  <si>
    <t>Electricity</t>
  </si>
  <si>
    <t>See note 12</t>
  </si>
  <si>
    <t>Water &amp; sewage</t>
  </si>
  <si>
    <t>Waste removal, 
recycling, compost</t>
  </si>
  <si>
    <t>Recycling &amp; compost</t>
  </si>
  <si>
    <t>moved to waste 
removal line</t>
  </si>
  <si>
    <t>Bad debt</t>
  </si>
  <si>
    <t>See note 10</t>
  </si>
  <si>
    <t>Vacant unit utilities</t>
  </si>
  <si>
    <t xml:space="preserve">Appliance Repair </t>
  </si>
  <si>
    <t>Interior unit repairs</t>
  </si>
  <si>
    <t>due to hot water tank repairs 
drywall and paint repairs are
 needed when there is a leak</t>
  </si>
  <si>
    <t>Annual unit inspections</t>
  </si>
  <si>
    <t>Handyman = $65/hour x 5 hours
only required for second opinion if needed</t>
  </si>
  <si>
    <t>Electrical parts &amp; repairs</t>
  </si>
  <si>
    <t>Exterior motion sensors</t>
  </si>
  <si>
    <t>remove, completed</t>
  </si>
  <si>
    <t>Hard wired smoke detectors</t>
  </si>
  <si>
    <t>Inside paint</t>
  </si>
  <si>
    <t>requested by 
paint coordinator</t>
  </si>
  <si>
    <t>Plumbing repairs</t>
  </si>
  <si>
    <t>Bathroom repairs</t>
  </si>
  <si>
    <t>Kitchen repairs</t>
  </si>
  <si>
    <t>Furnace maintenance</t>
  </si>
  <si>
    <t>inspections are $5682.60</t>
  </si>
  <si>
    <t>Exterior maintenance</t>
  </si>
  <si>
    <t>Doors &amp; locks</t>
  </si>
  <si>
    <t>Fire ladders (extinguishers)</t>
  </si>
  <si>
    <t>$50 x 58 
(not required for 1-bdrm units)</t>
  </si>
  <si>
    <t>Downspouts &amp; eaves</t>
  </si>
  <si>
    <t>2 cleanings and maintenance 
(cold weather is making more 
maintenance required)
heating coils</t>
  </si>
  <si>
    <t>Cross connection control</t>
  </si>
  <si>
    <t>$1700 is required for 
failed units $850 each unit</t>
  </si>
  <si>
    <t>Contingency</t>
  </si>
  <si>
    <t>Grounds expenses</t>
  </si>
  <si>
    <t>Snow removal/landscaping</t>
  </si>
  <si>
    <t>Spring cleaning junk removal</t>
  </si>
  <si>
    <t>2x this year</t>
  </si>
  <si>
    <t>Paving</t>
  </si>
  <si>
    <t>Playground maintenance</t>
  </si>
  <si>
    <t>added $2,000 to replace 
removed trees</t>
  </si>
  <si>
    <t>Sprinkler maintenance</t>
  </si>
  <si>
    <t>Supplies (mulch, etc)</t>
  </si>
  <si>
    <t>doubled as members ask for
 supplies for common spaces</t>
  </si>
  <si>
    <t>Integrated pest mgmt</t>
  </si>
  <si>
    <t>Tree replacement</t>
  </si>
  <si>
    <t>Fences, gates, 
garbage encl.</t>
  </si>
  <si>
    <t>Total grounds expenses</t>
  </si>
  <si>
    <t>Administration expenses</t>
  </si>
  <si>
    <t>Audit</t>
  </si>
  <si>
    <t>See note 16</t>
  </si>
  <si>
    <t>Bank charges</t>
  </si>
  <si>
    <t>See note 17</t>
  </si>
  <si>
    <t>Board expenses</t>
  </si>
  <si>
    <t xml:space="preserve">Bookkeeper </t>
  </si>
  <si>
    <t>Co-op meetings - room rent</t>
  </si>
  <si>
    <t>more General Meetings now</t>
  </si>
  <si>
    <t>Conference CHF</t>
  </si>
  <si>
    <t>Donations</t>
  </si>
  <si>
    <t>$10/unit</t>
  </si>
  <si>
    <t>Education committee</t>
  </si>
  <si>
    <t>See note 22</t>
  </si>
  <si>
    <t>Finance committee</t>
  </si>
  <si>
    <t>Legal &amp; mediation</t>
  </si>
  <si>
    <t>SACHA Property Management</t>
  </si>
  <si>
    <t>See note 19</t>
  </si>
  <si>
    <t>Member Selection Committee</t>
  </si>
  <si>
    <t>Memberships - SACHA &amp; CHF</t>
  </si>
  <si>
    <t>Membership HSCA</t>
  </si>
  <si>
    <t>Communications Committee</t>
  </si>
  <si>
    <t>Office electricity</t>
  </si>
  <si>
    <t>See note 21</t>
  </si>
  <si>
    <t>Office rent</t>
  </si>
  <si>
    <t>Office supplies</t>
  </si>
  <si>
    <t xml:space="preserve">Privacy Officer </t>
  </si>
  <si>
    <t>Social committee</t>
  </si>
  <si>
    <t>budget includes $500 for SHC 40th 
birthday party; 
different options for 5% hc increase</t>
  </si>
  <si>
    <t>WCB</t>
  </si>
  <si>
    <t>Fixed amount</t>
  </si>
  <si>
    <t>Workshops SACHA</t>
  </si>
  <si>
    <t>Fall Education Event x 2 people
Goldeye x 2 people
AGM x 2 people</t>
  </si>
  <si>
    <t>Buildings Capital expenses</t>
  </si>
  <si>
    <t>Full bathroom renovations</t>
  </si>
  <si>
    <t>3 bathrooms
approx. $6000 each</t>
  </si>
  <si>
    <t>Bathroom vanity replacement</t>
  </si>
  <si>
    <t>3 vanities @$500 each</t>
  </si>
  <si>
    <t>Full kitchen renovation</t>
  </si>
  <si>
    <t>3 kitchens
approx. $13000 each</t>
  </si>
  <si>
    <t>Toilet replacements</t>
  </si>
  <si>
    <t>$556.50 each x 4</t>
  </si>
  <si>
    <t>2 toilets</t>
  </si>
  <si>
    <t>Stoves</t>
  </si>
  <si>
    <t>$879.90 each x 3</t>
  </si>
  <si>
    <t>$900 each x3</t>
  </si>
  <si>
    <t>Fridges</t>
  </si>
  <si>
    <t>$669.90 each x 2</t>
  </si>
  <si>
    <t>$900 each x 2</t>
  </si>
  <si>
    <t>Building Envelope 
(Siding/stucco/windows)</t>
  </si>
  <si>
    <t>Break &amp; Fix</t>
  </si>
  <si>
    <t>$1750 each x 2</t>
  </si>
  <si>
    <t>$2000 each x 1</t>
  </si>
  <si>
    <t>Hot water tank replacements</t>
  </si>
  <si>
    <t>$1200 each x 5</t>
  </si>
  <si>
    <t>Furnace replacements</t>
  </si>
  <si>
    <t>2 @ approximately $5000 each
currently have 1 unit past life span</t>
  </si>
  <si>
    <t>Flooring</t>
  </si>
  <si>
    <t>3  based on $9000 each</t>
  </si>
  <si>
    <t>Total capital expenses</t>
  </si>
  <si>
    <t>Replacement reserve-opening</t>
  </si>
  <si>
    <t>See note 15</t>
  </si>
  <si>
    <t>Replacement reserve-closing</t>
  </si>
  <si>
    <t>Note #</t>
  </si>
  <si>
    <t>SUNNYHILL HOUSING COOPERATIVE - 2018 BUDGET NOTES</t>
  </si>
  <si>
    <t xml:space="preserve">Economic housing charge: the base rate from which the amount of money collected from a unit is calculated. </t>
  </si>
  <si>
    <t>It is voted upon annually by the members and is determined by the co-op's budget.</t>
  </si>
  <si>
    <t xml:space="preserve">Housing charge:  not in the budget.  This is the amount of money collected from a unit each month. </t>
  </si>
  <si>
    <t xml:space="preserve">Each member's economic housing charge is adjusted by surcharges or subsidies based </t>
  </si>
  <si>
    <t>on their annual income.  The difference between the money collected and the economic housing</t>
  </si>
  <si>
    <t xml:space="preserve">charge is accounted for in a Subsidy/Surcharge account.  The balance in this account is the difference </t>
  </si>
  <si>
    <t xml:space="preserve">between all the housing surcharges that get paid minus all the housing subsidies that are given.  </t>
  </si>
  <si>
    <t>The housing charge is calculated in May and comes into effect in June.</t>
  </si>
  <si>
    <t>Office rental income:  this amount is offset by office rental expense.</t>
  </si>
  <si>
    <t>Member service charges:  fees charged to members who are late in paying their monthly housing charge.</t>
  </si>
  <si>
    <t>Application fees:  fees paid by perspective members who wish to be on the co-op's waiting list.</t>
  </si>
  <si>
    <t>Federal capital contributions:  The CMHC reduces the co-op's mortgage principal by approximately 10%</t>
  </si>
  <si>
    <t>as long as the co-op adheres to the CMHC's operating agreement.  The total amount of $309,199</t>
  </si>
  <si>
    <t xml:space="preserve">is being deferred over 50 years at $6,184 per year. </t>
  </si>
  <si>
    <t xml:space="preserve">Amortization and depreciation:  yearly expensing of the co-op's assets such as buildings, appliances. </t>
  </si>
  <si>
    <t>There is no cash outlay;  these figures give an approximation on how much these assets were</t>
  </si>
  <si>
    <t>used up in the year.</t>
  </si>
  <si>
    <t>Bad debts:  amounts owed by members to the co-op and not paid or collectible.</t>
  </si>
  <si>
    <t xml:space="preserve">Electricity, water, sewage, waste removal, vacant unit utilities:  public lighting in the co-op and utilities. </t>
  </si>
  <si>
    <t>Property taxes:  City of Calgary taxes</t>
  </si>
  <si>
    <t xml:space="preserve">Land lease interest and amortization:  the co-op pre-paid a portion of the City of Calgary lease and interest for land.    </t>
  </si>
  <si>
    <t>The interest $7,361 and the lease $5,664 reflects the yearly expense.</t>
  </si>
  <si>
    <t xml:space="preserve"> (Replacement Reserve) This account and cash fund was established in accordance with the Canada Mortgage and Housing </t>
  </si>
  <si>
    <t>Corporation (CMHC) operating agreement.  This fund is to retain sufficient cash or CMHC accepted</t>
  </si>
  <si>
    <t>securities to fully fund capital items such as furnaces, roofs.  This fund must be added to at a rate</t>
  </si>
  <si>
    <t>of at least $90,000 per year and must never go below $235,000.  The funds earn interest income.</t>
  </si>
  <si>
    <t>SUNNYHILL HOUSING COOPERATIVE - Description of accounts</t>
  </si>
  <si>
    <t xml:space="preserve">Audit fees:  the co-op is legally required to have an annual audit of its accounting records by an independent external   </t>
  </si>
  <si>
    <t>auditor.  Each year, members vote to stay with the current auditor or choose a new one.</t>
  </si>
  <si>
    <t>Bank charges:  service charges from the bank.</t>
  </si>
  <si>
    <t>Insurance:  to cover co-op property and Board liability.</t>
  </si>
  <si>
    <t xml:space="preserve">Membership dues:  co-op's membership fees in Southern Alberta Co-operative Housing Association (SACHA). </t>
  </si>
  <si>
    <t>and Canadian Housing Federation (CHF).</t>
  </si>
  <si>
    <t>Office equipment service:  to service the office copier, telephone, fax, and computer.</t>
  </si>
  <si>
    <t xml:space="preserve">Committee expenses:  the amount calculated by each co-op committee to be spent in the upcoming fiscal year.  </t>
  </si>
  <si>
    <t xml:space="preserve">Net income(loss):  calculated by subtracting total expenses from total income.  The amount is added (income) </t>
  </si>
  <si>
    <t>or subtracted(loss) to retained earnings which are a cumulative amount of the past years' net income</t>
  </si>
  <si>
    <t>or loss.  From this amount, transfers to the replacement reserve and the unit fund are subtracted.</t>
  </si>
  <si>
    <t xml:space="preserve">Share redemption:  the co-op shares increase in value according to the consumer price index.  The share redemption </t>
  </si>
  <si>
    <t>amount represents the cost paid out to members selling their shares back to the co-op.</t>
  </si>
  <si>
    <t>The co-op's fiscal year is January 1 to December 31.</t>
  </si>
  <si>
    <t>MEMBER SELECTION BUDGET REQUEST</t>
  </si>
  <si>
    <t>$250 for each year is requested for credit checks</t>
  </si>
  <si>
    <t>Credit cheques are $21.00 each</t>
  </si>
  <si>
    <t>Average of 4 credit cheques done each time there is a move out</t>
  </si>
  <si>
    <t>ASSETS</t>
  </si>
  <si>
    <t>Cash Replacement Reserve</t>
  </si>
  <si>
    <t>Restricted Replacement Reserve</t>
  </si>
  <si>
    <t>Accounts receivable</t>
  </si>
  <si>
    <t>LIABILITIES</t>
  </si>
  <si>
    <t>EQUITY</t>
  </si>
  <si>
    <t>Unit fund</t>
  </si>
  <si>
    <t>Retained earnings</t>
  </si>
  <si>
    <t>$3600 added 
for composting</t>
  </si>
  <si>
    <t>less $2,000 we will do spring and fall cleanups as community events</t>
  </si>
  <si>
    <t>over 2 years to replace a total of 46 HWT (see note 2)</t>
  </si>
  <si>
    <t>3 vanities @$500 
each</t>
  </si>
  <si>
    <t>increase approx
. 2.65%</t>
  </si>
  <si>
    <t>2 bad walls by
 playground</t>
  </si>
  <si>
    <t>Food Forest</t>
  </si>
  <si>
    <t>2019 Actuals</t>
  </si>
  <si>
    <t xml:space="preserve">2021 Request </t>
  </si>
  <si>
    <t>Expenses</t>
  </si>
  <si>
    <t>Printing</t>
  </si>
  <si>
    <t>5 copies * 10 pages (average) * $0.075 * 12 Months</t>
  </si>
  <si>
    <t>Website Hosting</t>
  </si>
  <si>
    <t>Sentry Login ($7/month * 12 months)</t>
  </si>
  <si>
    <t>Total</t>
  </si>
  <si>
    <t>Sentry Login ($8/month * 12 months)</t>
  </si>
  <si>
    <t>$300 each year for welcome gifts</t>
  </si>
  <si>
    <t xml:space="preserve">Planning and Development </t>
  </si>
  <si>
    <t>Urban Matters</t>
  </si>
  <si>
    <t>General Operating Expenses</t>
  </si>
  <si>
    <t>stump removal added
to title</t>
  </si>
  <si>
    <t>no budget required</t>
  </si>
  <si>
    <t>Design Consultation</t>
  </si>
  <si>
    <t>Cost Consultant</t>
  </si>
  <si>
    <t>Partnership Opportunities</t>
  </si>
  <si>
    <t>Value Engineering</t>
  </si>
  <si>
    <t>Lawyer fees</t>
  </si>
  <si>
    <t>Space rental</t>
  </si>
  <si>
    <t>Final Recommendations</t>
  </si>
  <si>
    <t>Installments of $11,149.43 are due monthly and include interest of 4.24 compounded</t>
  </si>
  <si>
    <t>semi-annually.  The mortgage is scheduled to expire on September 1, 2038. The</t>
  </si>
  <si>
    <t>current mortgage is closed for the next five years maturing on September 1, 2023.</t>
  </si>
  <si>
    <t>The prior mortgage held with Canada Mortgage and Housing (CMHC) was paid in full</t>
  </si>
  <si>
    <t xml:space="preserve">on September 1, 2018. </t>
  </si>
  <si>
    <t>Mortgage interest-1st Calgary</t>
  </si>
  <si>
    <t>TABLE 1 - COMPONENT LIST</t>
  </si>
  <si>
    <t>CRF No.</t>
  </si>
  <si>
    <t>Component</t>
  </si>
  <si>
    <t>Date of 
Installation/
Last major
 upgrade</t>
  </si>
  <si>
    <t>Current 
replacement
cost</t>
  </si>
  <si>
    <t>Percent of
total cost</t>
  </si>
  <si>
    <t>Corrected
cost</t>
  </si>
  <si>
    <t>Typical life
span range</t>
  </si>
  <si>
    <t>Yearly
contribution</t>
  </si>
  <si>
    <t>Required Reserve 
Fund to date</t>
  </si>
  <si>
    <t>Present Age</t>
  </si>
  <si>
    <t>IRC estimated basic remaining life</t>
  </si>
  <si>
    <t>(A)</t>
  </si>
  <si>
    <t>(B)</t>
  </si>
  <si>
    <t>(C )</t>
  </si>
  <si>
    <t>(D)</t>
  </si>
  <si>
    <t>(E )</t>
  </si>
  <si>
    <t>(F)</t>
  </si>
  <si>
    <t>(G)</t>
  </si>
  <si>
    <t>(H)</t>
  </si>
  <si>
    <t>(J)</t>
  </si>
  <si>
    <t>Structural Components</t>
  </si>
  <si>
    <t>4.1.2</t>
  </si>
  <si>
    <t>Foundations &amp; Structure - Townhouses (**)</t>
  </si>
  <si>
    <t xml:space="preserve"> -20 -50 -80 +</t>
  </si>
  <si>
    <t>Building Exterior Components</t>
  </si>
  <si>
    <t>4.2.2</t>
  </si>
  <si>
    <t>Shingle Roofing - Townhouses (*) (**)</t>
  </si>
  <si>
    <t>-12 -15 -18 +</t>
  </si>
  <si>
    <t>4.2.9</t>
  </si>
  <si>
    <t>Stucco / EIFS (**)</t>
  </si>
  <si>
    <t>-47 -50 -53 +</t>
  </si>
  <si>
    <t>4.2.10</t>
  </si>
  <si>
    <t>Siding (**)</t>
  </si>
  <si>
    <t>-30 -30 -30 +</t>
  </si>
  <si>
    <t>4.2.15</t>
  </si>
  <si>
    <t>Windows - Townhouses (**)</t>
  </si>
  <si>
    <t>-26 -30 -34 +</t>
  </si>
  <si>
    <t>4.2.18</t>
  </si>
  <si>
    <t>Soffit, Fascia, Eavestroughs &amp; Downspouts</t>
  </si>
  <si>
    <t>-34 -40 -46 +</t>
  </si>
  <si>
    <t>4.2.22</t>
  </si>
  <si>
    <t>Exterior Doors - Front and Rear (**)</t>
  </si>
  <si>
    <t>-30 -35 -40 +</t>
  </si>
  <si>
    <t>4.2.24</t>
  </si>
  <si>
    <t>Patio / Balcony Doors - Townhouses (**)</t>
  </si>
  <si>
    <t>-20 -25 -30 +</t>
  </si>
  <si>
    <t>4.2.32</t>
  </si>
  <si>
    <t>Wood Decks - Townhouses (**)</t>
  </si>
  <si>
    <t>varies</t>
  </si>
  <si>
    <t>-22 -25 -28 +</t>
  </si>
  <si>
    <t>4.2.35</t>
  </si>
  <si>
    <t>Wood Balconies &amp; Metal Guardrails (**)</t>
  </si>
  <si>
    <t>-27 -30 -33 +</t>
  </si>
  <si>
    <t>4.2.38</t>
  </si>
  <si>
    <t>Exterior Painting</t>
  </si>
  <si>
    <t>-10 -12 -14 +</t>
  </si>
  <si>
    <t>4.2.39</t>
  </si>
  <si>
    <t>Exterior Sealants (**)</t>
  </si>
  <si>
    <t>-9 -12 -15 +</t>
  </si>
  <si>
    <t>Building Interior Components</t>
  </si>
  <si>
    <t>4.3.2</t>
  </si>
  <si>
    <t>Kitchen Upgrades - Townhouses</t>
  </si>
  <si>
    <t>4.3.4</t>
  </si>
  <si>
    <t>Bathroom Upgrades - Townhouses</t>
  </si>
  <si>
    <t>4.3.12</t>
  </si>
  <si>
    <t>Carpets &amp; Flooring - Townhouses</t>
  </si>
  <si>
    <t>-13 -15 -17 +</t>
  </si>
  <si>
    <t>4.3.22</t>
  </si>
  <si>
    <t>Appliances - Stoves</t>
  </si>
  <si>
    <t>-18 -30 -32 +</t>
  </si>
  <si>
    <t>4.3.23</t>
  </si>
  <si>
    <t>Appliances - Refrigerators</t>
  </si>
  <si>
    <t>-17 -20 -23 +</t>
  </si>
  <si>
    <t>4.3.34</t>
  </si>
  <si>
    <t>Small Capital Costs - Townhouses</t>
  </si>
  <si>
    <t>Annually</t>
  </si>
  <si>
    <t>Mechanical &amp; Plumbing Systems</t>
  </si>
  <si>
    <t>4.4.4</t>
  </si>
  <si>
    <t>Furnaces - Townhouses (**)</t>
  </si>
  <si>
    <t>4.4.16</t>
  </si>
  <si>
    <t>Automatic Storage Water Heaters (Annual)</t>
  </si>
  <si>
    <t>4.4.24</t>
  </si>
  <si>
    <t>Plumbing Piping &amp; Related - Townhouses (**)</t>
  </si>
  <si>
    <t>-50 -100 -70 +</t>
  </si>
  <si>
    <t>4.4.26</t>
  </si>
  <si>
    <t>Fire and Domestic Water Services (*) (**)</t>
  </si>
  <si>
    <t>-45 -50 -55 +</t>
  </si>
  <si>
    <t>4.4.27</t>
  </si>
  <si>
    <t>Storm and Sanitary Sewers and Drainage (*) (**)</t>
  </si>
  <si>
    <t>Electrical Systems</t>
  </si>
  <si>
    <t>4.5.1</t>
  </si>
  <si>
    <t>Power &amp; Distribution - Common (*) (**)</t>
  </si>
  <si>
    <t>4.5.3</t>
  </si>
  <si>
    <t>Power &amp; Distribution - Townhouses</t>
  </si>
  <si>
    <t>4.5.12</t>
  </si>
  <si>
    <t>Common Exterior Lighting</t>
  </si>
  <si>
    <t>Site Components</t>
  </si>
  <si>
    <t>4.8.1</t>
  </si>
  <si>
    <t>Asphault Pavement (**)</t>
  </si>
  <si>
    <t>-21 -25 -29 +</t>
  </si>
  <si>
    <t>4.8.4</t>
  </si>
  <si>
    <t>Concrete Components</t>
  </si>
  <si>
    <t>-50 -100 -80 +</t>
  </si>
  <si>
    <t>4.8.14</t>
  </si>
  <si>
    <t>Chain Link Fencing</t>
  </si>
  <si>
    <t>-25 -30 -35 +</t>
  </si>
  <si>
    <t>4.8.19</t>
  </si>
  <si>
    <t>Guardrails &amp; Handrails</t>
  </si>
  <si>
    <t>4.8.20</t>
  </si>
  <si>
    <t>Retaining Walls</t>
  </si>
  <si>
    <t>-25 -25 -25 +</t>
  </si>
  <si>
    <t>4.8.30</t>
  </si>
  <si>
    <t>Playground Equipment</t>
  </si>
  <si>
    <t>4.8.31</t>
  </si>
  <si>
    <t>Playground Surfacing</t>
  </si>
  <si>
    <t>unknown</t>
  </si>
  <si>
    <t>Organizational Elements</t>
  </si>
  <si>
    <t>4.9.12</t>
  </si>
  <si>
    <t>Building Condition Assessment &amp; Reserve Fund Study Update</t>
  </si>
  <si>
    <t>-3 -5 -7 +</t>
  </si>
  <si>
    <t>Miscellaneous Capital Components</t>
  </si>
  <si>
    <t>4.10.1</t>
  </si>
  <si>
    <t>Miscellaneous Capital Allowance</t>
  </si>
  <si>
    <t>-15 -25 -35 +</t>
  </si>
  <si>
    <t>4.10.2</t>
  </si>
  <si>
    <t>Foundation Leaks / Window Wells</t>
  </si>
  <si>
    <t>-5 -10 -15 +</t>
  </si>
  <si>
    <t>4.10.3</t>
  </si>
  <si>
    <t>Window IGUs</t>
  </si>
  <si>
    <t>-11 -15 -19 +</t>
  </si>
  <si>
    <t>4.10.11</t>
  </si>
  <si>
    <t>Landscaping</t>
  </si>
  <si>
    <t>4.10.12</t>
  </si>
  <si>
    <t>Site Signage</t>
  </si>
  <si>
    <t>-15 -18 -21 +</t>
  </si>
  <si>
    <t>4.10.16</t>
  </si>
  <si>
    <t>Garbage Bin Enclosures</t>
  </si>
  <si>
    <t>TOTALS</t>
  </si>
  <si>
    <t>Deferred revenue</t>
  </si>
  <si>
    <t>Maintenance Co-ordinator:  co-op's office coordinator. SACHA rate went up $2 for 2020. Will be $41.50/hour instead of $39.50/hour</t>
  </si>
  <si>
    <t>2019 NOTES</t>
  </si>
  <si>
    <t>2020 NOTES</t>
  </si>
  <si>
    <t>See note 8</t>
  </si>
  <si>
    <t>See note 3</t>
  </si>
  <si>
    <t>See note 20</t>
  </si>
  <si>
    <t>SACHA dues $3564.00
CHF dues $3405.40</t>
  </si>
  <si>
    <t>Member Involvement Committee</t>
  </si>
  <si>
    <t>Office equip. service (Shaw/TELUS)</t>
  </si>
  <si>
    <t>$9000 each x 3</t>
  </si>
  <si>
    <t>DEFERRED MAINTENANCE</t>
  </si>
  <si>
    <t>MEMBER INVOLVEMENT BUDGET REQUEST</t>
  </si>
  <si>
    <t>Project Initiation</t>
  </si>
  <si>
    <t>Engagement Program</t>
  </si>
  <si>
    <t>Accessibility Analysis</t>
  </si>
  <si>
    <t>Schematic Design Concept</t>
  </si>
  <si>
    <t>Asset Management Plan</t>
  </si>
  <si>
    <t>Recommendations</t>
  </si>
  <si>
    <t>Stakeholders Engagement</t>
  </si>
  <si>
    <t>GST</t>
  </si>
  <si>
    <t>Visual Piling Investigation</t>
  </si>
  <si>
    <t>Energy Audit</t>
  </si>
  <si>
    <t>Sustainability Opportunities</t>
  </si>
  <si>
    <t>Building expenses</t>
  </si>
  <si>
    <t>$850/mnth per Acct</t>
  </si>
  <si>
    <t>2019 Actual</t>
  </si>
  <si>
    <t>2019 Actual, + 2%</t>
  </si>
  <si>
    <t>Budget 2019 (3%)</t>
  </si>
  <si>
    <t>2019 Actuals + 13%</t>
  </si>
  <si>
    <t>Total Building expenses</t>
  </si>
  <si>
    <t>Total P &amp; D expenses</t>
  </si>
  <si>
    <t>Asset Mgmt &amp; 
 Succession Planning/Engagement</t>
  </si>
  <si>
    <t>Tree pruning &amp; stump removal</t>
  </si>
  <si>
    <t>Childcare - co-op &amp; committee</t>
  </si>
  <si>
    <t xml:space="preserve">Hourly rate + $2/hr </t>
  </si>
  <si>
    <t xml:space="preserve">Budget 2018 (2%) </t>
  </si>
  <si>
    <t>2017 Actuals (1.5%)</t>
  </si>
  <si>
    <t>Budget 2017 (1.5%)</t>
  </si>
  <si>
    <t>2018 Actuals (2%)</t>
  </si>
  <si>
    <t>5 x $6000</t>
  </si>
  <si>
    <t>5 x $500 not incl in bath reno.</t>
  </si>
  <si>
    <t>2 x $15000</t>
  </si>
  <si>
    <t>2 x $500</t>
  </si>
  <si>
    <t>2 x $900</t>
  </si>
  <si>
    <t>Project not completed in 2019</t>
  </si>
  <si>
    <t>1 x $1500</t>
  </si>
  <si>
    <t>39 x $1200</t>
  </si>
  <si>
    <t>2 x $9000</t>
  </si>
  <si>
    <t>Grant</t>
  </si>
  <si>
    <t>Other revenue</t>
  </si>
  <si>
    <t>Money to/from Repl. Reserves</t>
  </si>
  <si>
    <t>SUBTOTAL (income - operating)</t>
  </si>
  <si>
    <t>Site Assessment
(Geotech Phase 1 ESA</t>
  </si>
  <si>
    <t>Planning &amp; Development
 Committee</t>
  </si>
  <si>
    <t>Direct add to replacement 
reserves</t>
  </si>
  <si>
    <t>Washer/dryer sets for 1-bdrms</t>
  </si>
  <si>
    <t>2020 Property Assessment &amp; 
Tax Calculator</t>
  </si>
  <si>
    <t>Plus $1600  extra compost bin
 x 6 mos</t>
  </si>
  <si>
    <t>Budget 2020 (-4%)
approved</t>
  </si>
  <si>
    <t>Total Income (line 12)</t>
  </si>
  <si>
    <t>2021 NOTES</t>
  </si>
  <si>
    <t>4800 was added to budget in August 2020
for the dryer venting on 1 bdrm units</t>
  </si>
  <si>
    <t>2nd set of eyes, if required</t>
  </si>
  <si>
    <t>historical</t>
  </si>
  <si>
    <t>we will know how many to budget for once we find out from P&amp;D about
the grant</t>
  </si>
  <si>
    <t>2 x $1000</t>
  </si>
  <si>
    <t>1 x $2000</t>
  </si>
  <si>
    <t>budget for 2. No pricing increase</t>
  </si>
  <si>
    <t>8 on the list
small price increase
3 x $10,000
2 carpet on stairs only</t>
  </si>
  <si>
    <t>1 replacement</t>
  </si>
  <si>
    <t>6 x $500</t>
  </si>
  <si>
    <t>6 x $6200</t>
  </si>
  <si>
    <t>not required this year</t>
  </si>
  <si>
    <t>money required to change all batteries ladder/handyman required
Cost per unit $32.50 x 66 = $2150</t>
  </si>
  <si>
    <t>Co-op art project (murals, etc)</t>
  </si>
  <si>
    <t>Cotoneaster hedge replacement
(10units)</t>
  </si>
  <si>
    <t>Speed Date</t>
  </si>
  <si>
    <t>Movie Night</t>
  </si>
  <si>
    <t>Decorations Grant</t>
  </si>
  <si>
    <t xml:space="preserve">2022 Request </t>
  </si>
  <si>
    <t>Total Operating expenses (line 123)</t>
  </si>
  <si>
    <t>Communications Committee Budget</t>
  </si>
  <si>
    <r>
      <t>Squarespace.com</t>
    </r>
    <r>
      <rPr>
        <sz val="11"/>
        <color indexed="8"/>
        <rFont val="Calibri"/>
        <family val="2"/>
      </rPr>
      <t xml:space="preserve"> ($18 USD * 12 months)</t>
    </r>
  </si>
  <si>
    <t>Domain name registration</t>
  </si>
  <si>
    <r>
      <rPr>
        <u/>
        <sz val="10"/>
        <color rgb="FF1155CC"/>
        <rFont val="Arial"/>
        <family val="2"/>
      </rPr>
      <t>Squarespace.com</t>
    </r>
    <r>
      <rPr>
        <sz val="11"/>
        <color indexed="8"/>
        <rFont val="Calibri"/>
        <family val="2"/>
      </rPr>
      <t xml:space="preserve">  </t>
    </r>
  </si>
  <si>
    <t>Members' Section Security</t>
  </si>
  <si>
    <r>
      <t>Squarespace.com</t>
    </r>
    <r>
      <rPr>
        <sz val="11"/>
        <color indexed="8"/>
        <rFont val="Calibri"/>
        <family val="2"/>
      </rPr>
      <t xml:space="preserve"> ($19 USD * 12 months)</t>
    </r>
  </si>
  <si>
    <t>included in lines 51-75</t>
  </si>
  <si>
    <t>Total Capital expenses (line 139)</t>
  </si>
  <si>
    <t>Planning and Development</t>
  </si>
  <si>
    <t>Financial Tracking</t>
  </si>
  <si>
    <t>2019</t>
  </si>
  <si>
    <t>Details</t>
  </si>
  <si>
    <t>Proposed</t>
  </si>
  <si>
    <t>Updated</t>
  </si>
  <si>
    <t>Actual</t>
  </si>
  <si>
    <t>Notes</t>
  </si>
  <si>
    <t xml:space="preserve"> Urban Matters Phase 1</t>
  </si>
  <si>
    <t>2019 Total</t>
  </si>
  <si>
    <t>2020</t>
  </si>
  <si>
    <t xml:space="preserve"> Urban Matters Phase 2</t>
  </si>
  <si>
    <t>Subtotal</t>
  </si>
  <si>
    <t>2020 Total</t>
  </si>
  <si>
    <t>2021</t>
  </si>
  <si>
    <t>Boundary Design (Lee)</t>
  </si>
  <si>
    <t>2021 Total</t>
  </si>
  <si>
    <t>2019 - 2020 Summary</t>
  </si>
  <si>
    <t>Revenue</t>
  </si>
  <si>
    <t>Incl. GST</t>
  </si>
  <si>
    <t>Sunnyhill Housing Co-op</t>
  </si>
  <si>
    <t>CMHC Preservation Seed Grant</t>
  </si>
  <si>
    <t>Confirmed</t>
  </si>
  <si>
    <t>CMHC Preservation Seed Grant Top Up</t>
  </si>
  <si>
    <t>Pending</t>
  </si>
  <si>
    <t xml:space="preserve">Canadian Federation of Municipalities Green Municipal Fund </t>
  </si>
  <si>
    <t>Total Revenue</t>
  </si>
  <si>
    <t>Boundary Design Phase 2 Extension</t>
  </si>
  <si>
    <t xml:space="preserve"> Boundary Design Phase 3</t>
  </si>
  <si>
    <t>Total Expenses</t>
  </si>
  <si>
    <t>Total Revenue less Expenses</t>
  </si>
  <si>
    <t>2019 - 2020 Detailed</t>
  </si>
  <si>
    <r>
      <rPr>
        <sz val="10"/>
        <color indexed="8"/>
        <rFont val="Avenir Book"/>
        <family val="2"/>
      </rPr>
      <t>Project Initiation</t>
    </r>
  </si>
  <si>
    <r>
      <rPr>
        <sz val="10"/>
        <color indexed="8"/>
        <rFont val="Avenir Book"/>
        <family val="2"/>
      </rPr>
      <t>Engagement Program</t>
    </r>
  </si>
  <si>
    <r>
      <rPr>
        <sz val="10"/>
        <color indexed="8"/>
        <rFont val="Avenir Book"/>
        <family val="2"/>
      </rPr>
      <t>Accessibility Analysis</t>
    </r>
  </si>
  <si>
    <r>
      <rPr>
        <sz val="10"/>
        <color indexed="8"/>
        <rFont val="Avenir Book"/>
        <family val="2"/>
      </rPr>
      <t>Schematic Design Concept</t>
    </r>
  </si>
  <si>
    <r>
      <rPr>
        <sz val="10"/>
        <color indexed="8"/>
        <rFont val="Avenir Book"/>
        <family val="2"/>
      </rPr>
      <t>Sustainability Opportunities</t>
    </r>
  </si>
  <si>
    <r>
      <rPr>
        <sz val="10"/>
        <color indexed="8"/>
        <rFont val="Avenir Book"/>
        <family val="2"/>
      </rPr>
      <t>Asset Management Plan</t>
    </r>
  </si>
  <si>
    <r>
      <rPr>
        <sz val="10"/>
        <color indexed="8"/>
        <rFont val="Avenir Book"/>
        <family val="2"/>
      </rPr>
      <t>Recommendations</t>
    </r>
  </si>
  <si>
    <r>
      <rPr>
        <sz val="10"/>
        <color indexed="8"/>
        <rFont val="Avenir Book"/>
        <family val="2"/>
      </rPr>
      <t>GST</t>
    </r>
  </si>
  <si>
    <r>
      <rPr>
        <sz val="10"/>
        <color indexed="8"/>
        <rFont val="Avenir Book"/>
        <family val="2"/>
      </rPr>
      <t xml:space="preserve">Task 1: </t>
    </r>
    <r>
      <rPr>
        <sz val="10"/>
        <color indexed="8"/>
        <rFont val="Avenir Book"/>
        <family val="2"/>
      </rPr>
      <t xml:space="preserve">Start-up Meeting </t>
    </r>
  </si>
  <si>
    <r>
      <rPr>
        <sz val="10"/>
        <color indexed="8"/>
        <rFont val="Avenir Book"/>
        <family val="2"/>
      </rPr>
      <t xml:space="preserve">Task 2: </t>
    </r>
    <r>
      <rPr>
        <sz val="10"/>
        <color indexed="8"/>
        <rFont val="Avenir Book"/>
        <family val="2"/>
      </rPr>
      <t>Appraisal</t>
    </r>
  </si>
  <si>
    <r>
      <rPr>
        <sz val="10"/>
        <color indexed="8"/>
        <rFont val="Avenir Book"/>
        <family val="2"/>
      </rPr>
      <t xml:space="preserve">Task 3: </t>
    </r>
    <r>
      <rPr>
        <sz val="10"/>
        <color indexed="8"/>
        <rFont val="Avenir Book"/>
        <family val="2"/>
      </rPr>
      <t>Land Purchase</t>
    </r>
  </si>
  <si>
    <r>
      <rPr>
        <sz val="10"/>
        <color indexed="8"/>
        <rFont val="Avenir Book"/>
        <family val="2"/>
      </rPr>
      <t xml:space="preserve">Task 4: </t>
    </r>
    <r>
      <rPr>
        <sz val="10"/>
        <color indexed="8"/>
        <rFont val="Avenir Book"/>
        <family val="2"/>
      </rPr>
      <t>Engagement</t>
    </r>
  </si>
  <si>
    <r>
      <rPr>
        <sz val="10"/>
        <color indexed="8"/>
        <rFont val="Avenir Book"/>
        <family val="2"/>
      </rPr>
      <t xml:space="preserve">Task 5: </t>
    </r>
    <r>
      <rPr>
        <sz val="10"/>
        <color indexed="8"/>
        <rFont val="Avenir Book"/>
        <family val="2"/>
      </rPr>
      <t>Financial Analysis</t>
    </r>
  </si>
  <si>
    <r>
      <rPr>
        <sz val="10"/>
        <color indexed="8"/>
        <rFont val="Avenir Book"/>
        <family val="2"/>
      </rPr>
      <t xml:space="preserve">Task 6: </t>
    </r>
    <r>
      <rPr>
        <sz val="10"/>
        <color indexed="8"/>
        <rFont val="Avenir Book"/>
        <family val="2"/>
      </rPr>
      <t>Needs Assessment</t>
    </r>
  </si>
  <si>
    <r>
      <rPr>
        <sz val="10"/>
        <color indexed="8"/>
        <rFont val="Avenir Book"/>
        <family val="2"/>
      </rPr>
      <t xml:space="preserve">Task 7: </t>
    </r>
    <r>
      <rPr>
        <sz val="10"/>
        <color indexed="8"/>
        <rFont val="Avenir Book"/>
        <family val="2"/>
      </rPr>
      <t>Design Consultant</t>
    </r>
  </si>
  <si>
    <r>
      <rPr>
        <sz val="10"/>
        <color indexed="8"/>
        <rFont val="Avenir Book"/>
        <family val="2"/>
      </rPr>
      <t xml:space="preserve">Task 8: </t>
    </r>
    <r>
      <rPr>
        <sz val="10"/>
        <color indexed="8"/>
        <rFont val="Avenir Book"/>
        <family val="2"/>
      </rPr>
      <t>Cost Consultant</t>
    </r>
  </si>
  <si>
    <r>
      <rPr>
        <sz val="10"/>
        <color indexed="8"/>
        <rFont val="Avenir Book"/>
        <family val="2"/>
      </rPr>
      <t xml:space="preserve">Task 9: </t>
    </r>
    <r>
      <rPr>
        <sz val="10"/>
        <color indexed="8"/>
        <rFont val="Avenir Book"/>
        <family val="2"/>
      </rPr>
      <t>Site Assessment (incl. site accessibility engineer)</t>
    </r>
  </si>
  <si>
    <r>
      <rPr>
        <sz val="10"/>
        <color indexed="8"/>
        <rFont val="Avenir Book"/>
        <family val="2"/>
      </rPr>
      <t xml:space="preserve">Task 10: </t>
    </r>
    <r>
      <rPr>
        <sz val="10"/>
        <color indexed="8"/>
        <rFont val="Avenir Book"/>
        <family val="2"/>
      </rPr>
      <t>Value Engineering/Financial Refinement</t>
    </r>
  </si>
  <si>
    <r>
      <rPr>
        <sz val="10"/>
        <color indexed="8"/>
        <rFont val="Avenir Book"/>
        <family val="2"/>
      </rPr>
      <t>Lawyer Fees</t>
    </r>
  </si>
  <si>
    <r>
      <rPr>
        <sz val="10"/>
        <color indexed="8"/>
        <rFont val="Avenir Book"/>
        <family val="2"/>
      </rPr>
      <t>Space rental</t>
    </r>
  </si>
  <si>
    <r>
      <rPr>
        <sz val="10"/>
        <color indexed="8"/>
        <rFont val="Avenir Book"/>
        <family val="2"/>
      </rPr>
      <t>Asset Management and succession planning/Engagement</t>
    </r>
  </si>
  <si>
    <r>
      <rPr>
        <sz val="10"/>
        <color indexed="8"/>
        <rFont val="Avenir Book"/>
        <family val="2"/>
      </rPr>
      <t>Visual Piling Investigation</t>
    </r>
  </si>
  <si>
    <r>
      <rPr>
        <sz val="10"/>
        <color indexed="8"/>
        <rFont val="Avenir Book"/>
        <family val="2"/>
      </rPr>
      <t>Energy Audit</t>
    </r>
  </si>
  <si>
    <r>
      <rPr>
        <sz val="10"/>
        <color indexed="8"/>
        <rFont val="Avenir Book"/>
        <family val="2"/>
      </rPr>
      <t xml:space="preserve">Task 12: </t>
    </r>
    <r>
      <rPr>
        <sz val="10"/>
        <color indexed="8"/>
        <rFont val="Avenir Book"/>
        <family val="2"/>
      </rPr>
      <t>Partnership Opportunities</t>
    </r>
  </si>
  <si>
    <r>
      <rPr>
        <sz val="10"/>
        <color indexed="8"/>
        <rFont val="Avenir Book"/>
        <family val="2"/>
      </rPr>
      <t xml:space="preserve">Task 13: Development </t>
    </r>
    <r>
      <rPr>
        <sz val="10"/>
        <color indexed="8"/>
        <rFont val="Avenir Book"/>
        <family val="2"/>
      </rPr>
      <t>Recommendations</t>
    </r>
  </si>
  <si>
    <r>
      <rPr>
        <sz val="10"/>
        <color indexed="8"/>
        <rFont val="Avenir Book"/>
        <family val="2"/>
      </rPr>
      <t>General Consulting Fee</t>
    </r>
  </si>
  <si>
    <t>TOTAL UM/BD 2019, 2020, 2021</t>
  </si>
  <si>
    <t>See P&amp;D tabs</t>
  </si>
  <si>
    <t>This number fluctuates depending on 
the age of the current Members. Amount requested is based on the invoice</t>
  </si>
  <si>
    <t>2020 Actuals December unadjusted financials</t>
  </si>
  <si>
    <t>investigation cost</t>
  </si>
  <si>
    <t>2 x $900
Board approved an extra stove</t>
  </si>
  <si>
    <t>See note 12
2021 Property Assesement &amp; Tax Calculator</t>
  </si>
  <si>
    <t>inspections + repairs</t>
  </si>
  <si>
    <t>virtual due to COVID</t>
  </si>
  <si>
    <t>Rooftops Canada</t>
  </si>
  <si>
    <t>See note 21
included in lines 51-75</t>
  </si>
  <si>
    <t>WCB issued premium relief waiver 
(50% OF 2020 premiums) due to COVID-19. 2020 is typically paid in 2020 but due to waiver the invoice didn’t arrive until January 2021. 2021 invoice will arrive in April 2021. $100 for 2020 + $200 for 2021</t>
  </si>
  <si>
    <t>2020 Actual, + 4% See notes 1 &amp; 2</t>
  </si>
  <si>
    <t>Budget 2021 (4%)</t>
  </si>
  <si>
    <t>Accounting
Codes</t>
  </si>
  <si>
    <r>
      <rPr>
        <sz val="10"/>
        <color indexed="8"/>
        <rFont val="Avenir Book"/>
        <family val="2"/>
      </rPr>
      <t>Task 7:</t>
    </r>
    <r>
      <rPr>
        <sz val="10"/>
        <color indexed="8"/>
        <rFont val="Avenir Book"/>
        <family val="2"/>
      </rPr>
      <t xml:space="preserve">Design (Sustainability) Consultant </t>
    </r>
  </si>
  <si>
    <t>For Land Purchase  - Possible transaction, plus funds to have a lawyer vet the affordability agreement between SHC and CoC</t>
  </si>
  <si>
    <r>
      <rPr>
        <sz val="10"/>
        <color indexed="8"/>
        <rFont val="Avenir Book"/>
        <family val="2"/>
      </rPr>
      <t>Mortgage Negotiations - Consultant Fee</t>
    </r>
  </si>
  <si>
    <t>The hope is to hire a consultant who can negotiate a third party mortgage should we need one to combine with CHMC and GMF grants/financing.</t>
  </si>
  <si>
    <r>
      <rPr>
        <sz val="10"/>
        <color indexed="8"/>
        <rFont val="Avenir Book"/>
        <family val="2"/>
      </rPr>
      <t>Succession Planning - Consultant Fee</t>
    </r>
  </si>
  <si>
    <t>$150/hour * 166 hours</t>
  </si>
  <si>
    <t>We believe this should be a joint initiative between P and D and the Board. We would like to see a consultant hired to take on this work and for the consultant to work closely with Rachel and the Board.</t>
  </si>
  <si>
    <t>increased due to the new agreement</t>
  </si>
  <si>
    <t>$300 room rent
$1600 interpretation services 
(16 2 hour mtgs at $50/hour)</t>
  </si>
  <si>
    <t>There is currently nothing that is a safety issue. 
Potential P&amp;D build might effect the paving so it is being put on hold for now</t>
  </si>
  <si>
    <t>cost to repair garage could come from 
contigency</t>
  </si>
  <si>
    <t>2021 Actuals December unadjusted financials</t>
  </si>
  <si>
    <t>Budget 2022 (0%)</t>
  </si>
  <si>
    <t>Education Committee budgets</t>
  </si>
  <si>
    <t>PMO</t>
  </si>
  <si>
    <t>room rental</t>
  </si>
  <si>
    <t>snacks</t>
  </si>
  <si>
    <t>childcare</t>
  </si>
  <si>
    <t>postage</t>
  </si>
  <si>
    <t>laminated recycling posters</t>
  </si>
  <si>
    <t>Social Committee 2022 Planning/Budget</t>
  </si>
  <si>
    <t xml:space="preserve">Month </t>
  </si>
  <si>
    <t xml:space="preserve">Activity &amp; Associated Expenses </t>
  </si>
  <si>
    <t xml:space="preserve">Projected Costs </t>
  </si>
  <si>
    <t xml:space="preserve">January </t>
  </si>
  <si>
    <t xml:space="preserve">New Years Eve noise makers forever unit, balcony party </t>
  </si>
  <si>
    <t xml:space="preserve">February </t>
  </si>
  <si>
    <t xml:space="preserve">Valentines Secret Santa Valentine </t>
  </si>
  <si>
    <t xml:space="preserve">March </t>
  </si>
  <si>
    <t xml:space="preserve">St. Patrick's theme Partner with local liquor store promotion </t>
  </si>
  <si>
    <t xml:space="preserve">April </t>
  </si>
  <si>
    <t xml:space="preserve">Easter Egg Hunt </t>
  </si>
  <si>
    <t xml:space="preserve">May </t>
  </si>
  <si>
    <t xml:space="preserve">June </t>
  </si>
  <si>
    <t xml:space="preserve">Movie Night </t>
  </si>
  <si>
    <t xml:space="preserve">July </t>
  </si>
  <si>
    <t xml:space="preserve">Stampede Breakfast </t>
  </si>
  <si>
    <t xml:space="preserve">August </t>
  </si>
  <si>
    <t xml:space="preserve">Coop Birthday Party Entertainment caricature artist </t>
  </si>
  <si>
    <t xml:space="preserve">September </t>
  </si>
  <si>
    <t xml:space="preserve">October </t>
  </si>
  <si>
    <t xml:space="preserve">Scavenger Hunt Decorations </t>
  </si>
  <si>
    <t xml:space="preserve">Lantern Decorating / Movie Night </t>
  </si>
  <si>
    <t xml:space="preserve">November </t>
  </si>
  <si>
    <t xml:space="preserve">December </t>
  </si>
  <si>
    <t xml:space="preserve">Stuffed Stockings </t>
  </si>
  <si>
    <t xml:space="preserve">skip gift cards, candy, toys </t>
  </si>
  <si>
    <t xml:space="preserve">Tree Lights </t>
  </si>
  <si>
    <t xml:space="preserve">Ongoing </t>
  </si>
  <si>
    <t xml:space="preserve">Tea/ Coffee GM meetings (4 meetings x $60 each=$240) </t>
  </si>
  <si>
    <t xml:space="preserve">Permanent Supplies &amp; Other Collaborations (outdoor heater, pop up tent etc. and/or partnering with grounds, education etc.) </t>
  </si>
  <si>
    <t xml:space="preserve">2023 Request </t>
  </si>
  <si>
    <t>Mortgage - The Co-op has a mortgage with ConnectFirst Credit Union</t>
  </si>
  <si>
    <t>Assessed value market value as of July 1, 2021 and physical condition as of December 31, 2021: $8,260,000; 2022 rate: ​0.0074068</t>
  </si>
  <si>
    <t>2022 NOTES</t>
  </si>
  <si>
    <t xml:space="preserve">Increase due to mold remediation </t>
  </si>
  <si>
    <t>Few were missed or no longer working</t>
  </si>
  <si>
    <t>Volunteer group similar to grounds mulch event to replace all batteries</t>
  </si>
  <si>
    <t>Plan to re silicone 1/4 units per year</t>
  </si>
  <si>
    <t>stucco repair, loose balcony railings</t>
  </si>
  <si>
    <t>no budget required, extinguishers expire 2028</t>
  </si>
  <si>
    <t>repairs needed in 2021 at $4500 but not complete yet; After 2022 budget can decrease work not done in 2021 will carry over to 2022</t>
  </si>
  <si>
    <t>Roof inspection</t>
  </si>
  <si>
    <t>Roof repairs</t>
  </si>
  <si>
    <t xml:space="preserve">Plan to inspect every 3 years subject to review after green retrofit; Consult our professionals at that point. </t>
  </si>
  <si>
    <t>Repair cost will vary hard to predict at the present time with no historical data</t>
  </si>
  <si>
    <t>2019 - 2022 Detailed</t>
  </si>
  <si>
    <r>
      <rPr>
        <sz val="10"/>
        <color indexed="8"/>
        <rFont val="Avenir Book"/>
        <family val="2"/>
      </rPr>
      <t xml:space="preserve">Task 1: Start-up Meeting </t>
    </r>
  </si>
  <si>
    <r>
      <rPr>
        <sz val="10"/>
        <color indexed="8"/>
        <rFont val="Avenir Book"/>
        <family val="2"/>
      </rPr>
      <t>Task 2: Appraisal</t>
    </r>
  </si>
  <si>
    <r>
      <rPr>
        <sz val="10"/>
        <color indexed="8"/>
        <rFont val="Avenir Book"/>
        <family val="2"/>
      </rPr>
      <t>Task 3: Land Purchase</t>
    </r>
  </si>
  <si>
    <r>
      <rPr>
        <sz val="10"/>
        <color indexed="8"/>
        <rFont val="Avenir Book"/>
        <family val="2"/>
      </rPr>
      <t>Task 4: Engagement</t>
    </r>
  </si>
  <si>
    <r>
      <rPr>
        <sz val="10"/>
        <color indexed="8"/>
        <rFont val="Avenir Book"/>
        <family val="2"/>
      </rPr>
      <t>Task 5: Financial Analysis</t>
    </r>
  </si>
  <si>
    <r>
      <rPr>
        <sz val="10"/>
        <color indexed="8"/>
        <rFont val="Avenir Book"/>
        <family val="2"/>
      </rPr>
      <t>Task 6: Needs Assessment</t>
    </r>
  </si>
  <si>
    <r>
      <rPr>
        <sz val="10"/>
        <color indexed="8"/>
        <rFont val="Avenir Book"/>
        <family val="2"/>
      </rPr>
      <t>Task 7: Design Consultant</t>
    </r>
  </si>
  <si>
    <r>
      <rPr>
        <sz val="10"/>
        <color indexed="8"/>
        <rFont val="Avenir Book"/>
        <family val="2"/>
      </rPr>
      <t>Task 8: Cost Consultant</t>
    </r>
  </si>
  <si>
    <r>
      <rPr>
        <sz val="10"/>
        <color indexed="8"/>
        <rFont val="Avenir Book"/>
        <family val="2"/>
      </rPr>
      <t>Task 9: Site Assessment (incl. site accessibility engineer)</t>
    </r>
  </si>
  <si>
    <r>
      <rPr>
        <sz val="10"/>
        <color indexed="8"/>
        <rFont val="Avenir Book"/>
        <family val="2"/>
      </rPr>
      <t>Task 10: Value Engineering/Financial Refinement</t>
    </r>
  </si>
  <si>
    <t>Boundary Design Phase 2b Extension</t>
  </si>
  <si>
    <t>As of October 15, 2021 - Last invoice</t>
  </si>
  <si>
    <r>
      <rPr>
        <sz val="10"/>
        <color indexed="8"/>
        <rFont val="Avenir Book"/>
        <family val="2"/>
      </rPr>
      <t xml:space="preserve">Task 7:Design (Sustainability) Consultant </t>
    </r>
  </si>
  <si>
    <t>As of October 15, 2021</t>
  </si>
  <si>
    <r>
      <rPr>
        <sz val="10"/>
        <color indexed="8"/>
        <rFont val="Avenir Book"/>
        <family val="2"/>
      </rPr>
      <t>Task 12: Partnership Opportunities</t>
    </r>
  </si>
  <si>
    <r>
      <rPr>
        <sz val="10"/>
        <color indexed="8"/>
        <rFont val="Avenir Book"/>
        <family val="2"/>
      </rPr>
      <t>Task 13: Development Recommendations</t>
    </r>
  </si>
  <si>
    <t>Task 14: Funding Applications</t>
  </si>
  <si>
    <t>2022</t>
  </si>
  <si>
    <t>Carry Forward from 2020/2021</t>
  </si>
  <si>
    <r>
      <rPr>
        <sz val="10"/>
        <color indexed="8"/>
        <rFont val="Avenir Book"/>
        <family val="2"/>
      </rPr>
      <t>Task 14: Funding Applications</t>
    </r>
  </si>
  <si>
    <t>Carry Forward from 2020/2021 
For Land Purchase  - Possible transaction, plus funds to have a lawyer vet the affordability agreement between SHC and CoC</t>
  </si>
  <si>
    <t>Carry Forward from 2020/2021 
The hope is to hire a consultant who can negotiate a third party mortgage should we need one to combine with CHMC and GMF grants/financing.</t>
  </si>
  <si>
    <r>
      <rPr>
        <sz val="10"/>
        <color indexed="8"/>
        <rFont val="Avenir Book"/>
        <family val="2"/>
      </rPr>
      <t>Asset Management Planning - Consultant Fee</t>
    </r>
  </si>
  <si>
    <t>December 31</t>
  </si>
  <si>
    <t>Cash for Operations</t>
    <phoneticPr fontId="0" type="noConversion"/>
  </si>
  <si>
    <t>Investment Replacement Reserve</t>
  </si>
  <si>
    <t>Total Replacement Reserve funds</t>
  </si>
  <si>
    <t>Total cash</t>
  </si>
  <si>
    <t>Prepaid expenses</t>
  </si>
  <si>
    <t>Prepaid City lease interest</t>
  </si>
  <si>
    <t>Capital assets</t>
  </si>
  <si>
    <t>TOTAL ASSETS</t>
  </si>
  <si>
    <t>Accounts payable &amp; accruals</t>
  </si>
  <si>
    <t xml:space="preserve">Surcharge/Subsidy </t>
  </si>
  <si>
    <t>Deferred Federal grant</t>
  </si>
  <si>
    <t>Connect mortgage</t>
  </si>
  <si>
    <t>TOTAL LIABILITIES</t>
  </si>
  <si>
    <t>Share capital</t>
  </si>
  <si>
    <t>Subsidy Reserve</t>
  </si>
  <si>
    <t>Replacement reserve fund</t>
  </si>
  <si>
    <t>TOTAL EQUITY</t>
  </si>
  <si>
    <t>TOTAL LIABILITIES &amp; EQUITY</t>
  </si>
  <si>
    <t xml:space="preserve">General interest:  the amount of money earned from the co-op's operating account over the year.  </t>
  </si>
  <si>
    <t>Effective December 15, 2021, the interest rate dropped from 2.4% to 1.0%. As of May 15, 2022, the rate will drop to 0.6%</t>
  </si>
  <si>
    <t xml:space="preserve">Significantly under budget last year however, there are areas that may need attention due to ice building in the winter. Lowering budget only slightly to allow us the option to look into landscape improvements. </t>
  </si>
  <si>
    <t>Spring bin and cleanup event</t>
  </si>
  <si>
    <t xml:space="preserve">There is currently nothing that is a safety issue.  Potential P&amp;D build might effect the paving so it is being put on hold for now. A retainer amount is being placed in the event something unexpected comes up this year. </t>
  </si>
  <si>
    <t xml:space="preserve">Gravel topped up last year, no major upgrades planned for this year. Retainer for potential equipment replacements. </t>
  </si>
  <si>
    <t>Arborist inspection and care of trees (There is some weather damage to several trees that will need attention this year)</t>
  </si>
  <si>
    <t>Spring and Fall sprinkler maintenance</t>
  </si>
  <si>
    <t>Includes upgrades and repairs to equipment, tool additions, hoses, mulch, soil amendments, plants, and seeds. Also we have a plan to offer replacement/upgrades of hoses and spray nozzles for units with shared taps (# of units with shared taps still to be determined)</t>
  </si>
  <si>
    <t>Increased pest control to provide us with the option to allow  inspections and control of mouse situation in multiple units (Still to be determined, this is an ongoing issue)</t>
  </si>
  <si>
    <t>Providing us an option to purchase new plants and revive existing, as well as provide more options for Food Forest engagement through signs and education</t>
  </si>
  <si>
    <t>Option to replace damaged and ailing trees, or plant new ones</t>
  </si>
  <si>
    <t xml:space="preserve">To repair and replace fences and gates, as well as install new fence between units on Sunnyhill Lane (Unit #34). Unit currently does not have a fence seperating them from their neighbour. </t>
  </si>
  <si>
    <t xml:space="preserve">Option to allow more art in Coop. Budget is to allow both members and outside artist groups to create murals and artwork for the Coop. </t>
  </si>
  <si>
    <t>Retainer to replace any cotoneaster hedge -- replacements planned for last year were bumped to this year</t>
  </si>
  <si>
    <t>Budget 2022 (5%)</t>
  </si>
  <si>
    <t>2 x $1200</t>
  </si>
  <si>
    <t>10 x $500</t>
  </si>
  <si>
    <t xml:space="preserve">10 x $8000 (to include fuller reno; Fixtures, vanity backsplash and painted.)	</t>
  </si>
  <si>
    <t>redoing kitchen renovation process.</t>
  </si>
  <si>
    <t>Emergency tank replacements due to aging tanks.</t>
  </si>
  <si>
    <t>1 replacement if needed</t>
  </si>
  <si>
    <t>8 on the list
small price increase
4 x $11,000
2 carpet on (stairs only) 2 x $2000</t>
  </si>
  <si>
    <t>Budget 2022 (2%)</t>
  </si>
  <si>
    <t>compared to 2021 Budget</t>
  </si>
  <si>
    <r>
      <rPr>
        <sz val="10"/>
        <color indexed="8"/>
        <rFont val="Calibri"/>
        <family val="2"/>
      </rPr>
      <t>Task 3: Land Purchase</t>
    </r>
  </si>
  <si>
    <r>
      <rPr>
        <sz val="10"/>
        <color indexed="8"/>
        <rFont val="Calibri"/>
        <family val="2"/>
      </rPr>
      <t>Task 4: Engagement</t>
    </r>
  </si>
  <si>
    <r>
      <rPr>
        <sz val="10"/>
        <color indexed="8"/>
        <rFont val="Calibri"/>
        <family val="2"/>
      </rPr>
      <t>Task 12: Partnership Opportunities</t>
    </r>
  </si>
  <si>
    <r>
      <rPr>
        <sz val="10"/>
        <color indexed="8"/>
        <rFont val="Calibri"/>
        <family val="2"/>
      </rPr>
      <t>Task 13: Development Recommendations</t>
    </r>
  </si>
  <si>
    <r>
      <rPr>
        <sz val="10"/>
        <color indexed="8"/>
        <rFont val="Calibri"/>
        <family val="2"/>
      </rPr>
      <t>Task 14: Funding Applications</t>
    </r>
  </si>
  <si>
    <r>
      <rPr>
        <sz val="10"/>
        <color indexed="8"/>
        <rFont val="Calibri"/>
        <family val="2"/>
      </rPr>
      <t>General Consulting Fee</t>
    </r>
  </si>
  <si>
    <r>
      <rPr>
        <sz val="10"/>
        <color indexed="8"/>
        <rFont val="Calibri"/>
        <family val="2"/>
      </rPr>
      <t>GST</t>
    </r>
  </si>
  <si>
    <r>
      <rPr>
        <sz val="10"/>
        <color indexed="8"/>
        <rFont val="Calibri"/>
        <family val="2"/>
      </rPr>
      <t>Lawyer Fees</t>
    </r>
  </si>
  <si>
    <r>
      <rPr>
        <sz val="10"/>
        <color indexed="8"/>
        <rFont val="Calibri"/>
        <family val="2"/>
      </rPr>
      <t>Mortgage Negotiations - Consultant Fee</t>
    </r>
  </si>
  <si>
    <r>
      <rPr>
        <sz val="10"/>
        <color indexed="8"/>
        <rFont val="Calibri"/>
        <family val="2"/>
      </rPr>
      <t>Asset Management Planning - Consultant Fee</t>
    </r>
  </si>
  <si>
    <t>$290,000 approved separately by special resolution Dec 2020.  New operating budget not required.</t>
  </si>
  <si>
    <t>hire professional to train on what to look for, then complete the rest with Prop Coord</t>
  </si>
  <si>
    <t>Slight increase for additional follow-up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</si>
</sst>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quot; &quot;&quot;$&quot;* #,##0.00&quot; &quot;;&quot; &quot;&quot;$&quot;* \(#,##0.00\);&quot; &quot;&quot;$&quot;* &quot;-&quot;??&quot; &quot;"/>
    <numFmt numFmtId="169" formatCode="&quot;$&quot;#,##0"/>
    <numFmt numFmtId="170" formatCode="&quot;$&quot;#,##0;&quot;-&quot;&quot;$&quot;#,##0"/>
    <numFmt numFmtId="171" formatCode="_-&quot;$&quot;* #,##0_-;\-&quot;$&quot;* #,##0_-;_-&quot;$&quot;* &quot;-&quot;??_-;_-@_-"/>
    <numFmt numFmtId="172" formatCode="&quot; &quot;&quot;$&quot;* #,##0.000&quot; &quot;;&quot; &quot;&quot;$&quot;* \(#,##0.000\);&quot; &quot;&quot;$&quot;* &quot;-&quot;??&quot; &quot;"/>
    <numFmt numFmtId="173" formatCode="#,##0.0"/>
    <numFmt numFmtId="174" formatCode="_(&quot;$&quot;* #,##0_);_(&quot;$&quot;* \(#,##0\);_(&quot;$&quot;* &quot;-&quot;??_);_(@_)"/>
    <numFmt numFmtId="175" formatCode="_(* #,##0_);_(* \(#,##0\);_(* &quot;-&quot;??_);_(@_)"/>
  </numFmts>
  <fonts count="42">
    <font>
      <sz val="11"/>
      <color indexed="8"/>
      <name val="Calibri"/>
    </font>
    <font>
      <b/>
      <sz val="11"/>
      <color indexed="8"/>
      <name val="Calibri"/>
      <family val="2"/>
    </font>
    <font>
      <b/>
      <sz val="10"/>
      <color indexed="8"/>
      <name val="Helv"/>
    </font>
    <font>
      <u/>
      <sz val="10"/>
      <color indexed="8"/>
      <name val="Helv"/>
    </font>
    <font>
      <b/>
      <sz val="16"/>
      <color indexed="8"/>
      <name val="Calibri"/>
      <family val="2"/>
    </font>
    <font>
      <sz val="12"/>
      <color indexed="8"/>
      <name val="Calibri"/>
      <family val="2"/>
    </font>
    <font>
      <b/>
      <sz val="12"/>
      <color indexed="8"/>
      <name val="Calibri"/>
      <family val="2"/>
    </font>
    <font>
      <i/>
      <sz val="12"/>
      <color indexed="8"/>
      <name val="Calibri"/>
      <family val="2"/>
    </font>
    <font>
      <b/>
      <sz val="14"/>
      <color indexed="8"/>
      <name val="Calibri"/>
      <family val="2"/>
    </font>
    <font>
      <sz val="11"/>
      <color indexed="8"/>
      <name val="Calibri"/>
      <family val="2"/>
    </font>
    <font>
      <sz val="9"/>
      <name val="Geneva"/>
      <family val="2"/>
    </font>
    <font>
      <sz val="10"/>
      <name val="Calibri"/>
      <family val="2"/>
    </font>
    <font>
      <sz val="10"/>
      <name val="Helv"/>
    </font>
    <font>
      <sz val="11"/>
      <color indexed="8"/>
      <name val="Calibri"/>
      <family val="2"/>
    </font>
    <font>
      <sz val="14"/>
      <color indexed="8"/>
      <name val="Helvetica Neue"/>
      <family val="2"/>
    </font>
    <font>
      <sz val="10"/>
      <color indexed="8"/>
      <name val="Helvetica Neue"/>
      <family val="2"/>
    </font>
    <font>
      <b/>
      <sz val="10"/>
      <color indexed="8"/>
      <name val="Helvetica Neue"/>
      <family val="2"/>
    </font>
    <font>
      <sz val="10"/>
      <name val="Helvetica Neue"/>
      <family val="2"/>
    </font>
    <font>
      <b/>
      <sz val="10"/>
      <name val="Helvetica Neue"/>
      <family val="2"/>
    </font>
    <font>
      <sz val="10"/>
      <color indexed="49"/>
      <name val="Helvetica Neue"/>
      <family val="2"/>
    </font>
    <font>
      <sz val="8"/>
      <name val="Calibri"/>
      <family val="2"/>
    </font>
    <font>
      <b/>
      <sz val="10"/>
      <name val="Calibri"/>
      <family val="2"/>
    </font>
    <font>
      <b/>
      <sz val="11"/>
      <name val="Calibri"/>
      <family val="2"/>
    </font>
    <font>
      <sz val="11"/>
      <name val="Calibri"/>
      <family val="2"/>
    </font>
    <font>
      <sz val="9"/>
      <name val="Calibri"/>
      <family val="2"/>
    </font>
    <font>
      <b/>
      <sz val="10"/>
      <name val="Arial"/>
      <family val="2"/>
    </font>
    <font>
      <sz val="10"/>
      <name val="Arial"/>
      <family val="2"/>
    </font>
    <font>
      <u/>
      <sz val="10"/>
      <color rgb="FF1155CC"/>
      <name val="Arial"/>
      <family val="2"/>
    </font>
    <font>
      <sz val="10"/>
      <color indexed="8"/>
      <name val="Avenir Heavy"/>
      <family val="2"/>
    </font>
    <font>
      <sz val="10"/>
      <color indexed="8"/>
      <name val="Avenir Book"/>
      <family val="2"/>
    </font>
    <font>
      <sz val="10"/>
      <color indexed="8"/>
      <name val="Avenir Book Oblique"/>
    </font>
    <font>
      <sz val="8"/>
      <color indexed="8"/>
      <name val="Avenir Book"/>
      <family val="2"/>
    </font>
    <font>
      <b/>
      <sz val="8"/>
      <name val="Calibri"/>
      <family val="2"/>
    </font>
    <font>
      <b/>
      <sz val="14"/>
      <color theme="1"/>
      <name val="Helvetica Neue"/>
      <family val="2"/>
      <scheme val="minor"/>
    </font>
    <font>
      <b/>
      <sz val="12"/>
      <color theme="1"/>
      <name val="Helvetica Neue"/>
      <family val="2"/>
      <scheme val="minor"/>
    </font>
    <font>
      <sz val="11"/>
      <color indexed="8"/>
      <name val="Calibri"/>
      <family val="2"/>
    </font>
    <font>
      <sz val="12"/>
      <name val="Arial"/>
      <family val="2"/>
    </font>
    <font>
      <b/>
      <sz val="12"/>
      <name val="Arial"/>
      <family val="2"/>
    </font>
    <font>
      <sz val="8"/>
      <name val="Arial"/>
      <family val="2"/>
    </font>
    <font>
      <b/>
      <sz val="11"/>
      <color rgb="FFFF0000"/>
      <name val="Helvetica Neue"/>
      <family val="2"/>
      <scheme val="minor"/>
    </font>
    <font>
      <b/>
      <sz val="8"/>
      <color indexed="8"/>
      <name val="Arial"/>
      <family val="2"/>
    </font>
    <font>
      <sz val="10"/>
      <color indexed="8"/>
      <name val="Calibri"/>
      <family val="2"/>
    </font>
  </fonts>
  <fills count="35">
    <fill>
      <patternFill patternType="none"/>
    </fill>
    <fill>
      <patternFill patternType="gray125"/>
    </fill>
    <fill>
      <patternFill patternType="solid">
        <fgColor indexed="15"/>
      </patternFill>
    </fill>
    <fill>
      <patternFill patternType="solid">
        <fgColor indexed="17"/>
      </patternFill>
    </fill>
    <fill>
      <patternFill patternType="solid">
        <fgColor indexed="16"/>
      </patternFill>
    </fill>
    <fill>
      <patternFill patternType="solid">
        <fgColor indexed="10"/>
      </patternFill>
    </fill>
    <fill>
      <patternFill patternType="solid">
        <fgColor indexed="11"/>
      </patternFill>
    </fill>
    <fill>
      <patternFill patternType="solid">
        <fgColor indexed="9"/>
        <bgColor indexed="64"/>
      </patternFill>
    </fill>
    <fill>
      <patternFill patternType="solid">
        <fgColor indexed="16"/>
        <bgColor indexed="64"/>
      </patternFill>
    </fill>
    <fill>
      <patternFill patternType="solid">
        <fgColor indexed="15"/>
        <bgColor indexed="64"/>
      </patternFill>
    </fill>
    <fill>
      <patternFill patternType="solid">
        <fgColor indexed="14"/>
        <bgColor indexed="64"/>
      </patternFill>
    </fill>
    <fill>
      <patternFill patternType="solid">
        <fgColor indexed="55"/>
        <bgColor indexed="64"/>
      </patternFill>
    </fill>
    <fill>
      <patternFill patternType="solid">
        <fgColor indexed="11"/>
        <bgColor indexed="64"/>
      </patternFill>
    </fill>
    <fill>
      <patternFill patternType="solid">
        <fgColor indexed="17"/>
        <bgColor indexed="64"/>
      </patternFill>
    </fill>
    <fill>
      <patternFill patternType="solid">
        <fgColor indexed="47"/>
        <bgColor indexed="64"/>
      </patternFill>
    </fill>
    <fill>
      <patternFill patternType="solid">
        <fgColor theme="8"/>
        <bgColor indexed="64"/>
      </patternFill>
    </fill>
    <fill>
      <patternFill patternType="solid">
        <fgColor theme="5" tint="0.79998168889431442"/>
        <bgColor indexed="64"/>
      </patternFill>
    </fill>
    <fill>
      <patternFill patternType="solid">
        <fgColor theme="7" tint="0.79998168889431442"/>
        <bgColor indexed="64"/>
      </patternFill>
    </fill>
    <fill>
      <patternFill patternType="gray125">
        <bgColor theme="7" tint="0.79998168889431442"/>
      </patternFill>
    </fill>
    <fill>
      <patternFill patternType="solid">
        <fgColor theme="6" tint="0.59999389629810485"/>
        <bgColor indexed="64"/>
      </patternFill>
    </fill>
    <fill>
      <patternFill patternType="gray125">
        <bgColor theme="6" tint="0.59999389629810485"/>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2CC"/>
        <bgColor rgb="FFFFF2CC"/>
      </patternFill>
    </fill>
    <fill>
      <patternFill patternType="solid">
        <fgColor rgb="FFFFFF00"/>
        <bgColor indexed="64"/>
      </patternFill>
    </fill>
    <fill>
      <patternFill patternType="solid">
        <fgColor theme="9"/>
        <bgColor indexed="64"/>
      </patternFill>
    </fill>
    <fill>
      <patternFill patternType="solid">
        <fgColor rgb="FF00B0F0"/>
        <bgColor indexed="64"/>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50">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8"/>
      </bottom>
      <diagonal/>
    </border>
    <border>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top style="thin">
        <color indexed="9"/>
      </top>
      <bottom style="thin">
        <color indexed="8"/>
      </bottom>
      <diagonal/>
    </border>
    <border>
      <left style="thin">
        <color indexed="8"/>
      </left>
      <right/>
      <top style="thin">
        <color indexed="8"/>
      </top>
      <bottom style="thin">
        <color indexed="8"/>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thin">
        <color indexed="9"/>
      </left>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64"/>
      </left>
      <right style="thin">
        <color indexed="64"/>
      </right>
      <top style="thick">
        <color indexed="8"/>
      </top>
      <bottom style="thick">
        <color indexed="8"/>
      </bottom>
      <diagonal/>
    </border>
    <border>
      <left/>
      <right/>
      <top/>
      <bottom style="thin">
        <color auto="1"/>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6"/>
      </left>
      <right style="thin">
        <color indexed="10"/>
      </right>
      <top style="thin">
        <color indexed="10"/>
      </top>
      <bottom style="thin">
        <color indexed="16"/>
      </bottom>
      <diagonal/>
    </border>
    <border>
      <left style="thin">
        <color indexed="10"/>
      </left>
      <right style="thin">
        <color indexed="10"/>
      </right>
      <top style="thin">
        <color indexed="10"/>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0"/>
      </right>
      <top style="thin">
        <color indexed="10"/>
      </top>
      <bottom style="thin">
        <color indexed="10"/>
      </bottom>
      <diagonal/>
    </border>
    <border>
      <left style="thin">
        <color indexed="16"/>
      </left>
      <right style="thin">
        <color indexed="16"/>
      </right>
      <top style="thin">
        <color indexed="16"/>
      </top>
      <bottom style="thin">
        <color indexed="10"/>
      </bottom>
      <diagonal/>
    </border>
    <border>
      <left style="thin">
        <color indexed="10"/>
      </left>
      <right style="thin">
        <color indexed="10"/>
      </right>
      <top style="thin">
        <color indexed="16"/>
      </top>
      <bottom style="thin">
        <color indexed="10"/>
      </bottom>
      <diagonal/>
    </border>
    <border>
      <left style="thin">
        <color indexed="10"/>
      </left>
      <right style="thin">
        <color indexed="10"/>
      </right>
      <top style="thin">
        <color indexed="10"/>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n">
        <color indexed="10"/>
      </right>
      <top style="thin">
        <color indexed="10"/>
      </top>
      <bottom style="thin">
        <color indexed="10"/>
      </bottom>
      <diagonal/>
    </border>
    <border>
      <left style="thin">
        <color indexed="17"/>
      </left>
      <right style="thin">
        <color indexed="10"/>
      </right>
      <top style="thin">
        <color indexed="17"/>
      </top>
      <bottom style="thin">
        <color indexed="17"/>
      </bottom>
      <diagonal/>
    </border>
    <border>
      <left style="thin">
        <color indexed="10"/>
      </left>
      <right style="thin">
        <color indexed="10"/>
      </right>
      <top style="thin">
        <color indexed="17"/>
      </top>
      <bottom style="thin">
        <color indexed="10"/>
      </bottom>
      <diagonal/>
    </border>
    <border>
      <left/>
      <right/>
      <top style="thin">
        <color indexed="64"/>
      </top>
      <bottom style="double">
        <color indexed="64"/>
      </bottom>
      <diagonal/>
    </border>
  </borders>
  <cellStyleXfs count="7">
    <xf numFmtId="0" fontId="0" fillId="0" borderId="0" applyNumberFormat="0" applyFill="0" applyBorder="0" applyProtection="0"/>
    <xf numFmtId="166" fontId="9" fillId="0" borderId="0" applyFont="0" applyFill="0" applyBorder="0" applyAlignment="0" applyProtection="0"/>
    <xf numFmtId="44" fontId="10" fillId="0" borderId="0" applyFont="0" applyFill="0" applyBorder="0" applyAlignment="0" applyProtection="0"/>
    <xf numFmtId="0" fontId="10" fillId="0" borderId="0"/>
    <xf numFmtId="9" fontId="13" fillId="0" borderId="0" applyFont="0" applyFill="0" applyBorder="0" applyAlignment="0" applyProtection="0"/>
    <xf numFmtId="167" fontId="35" fillId="0" borderId="0" applyFont="0" applyFill="0" applyBorder="0" applyAlignment="0" applyProtection="0"/>
    <xf numFmtId="166" fontId="9" fillId="0" borderId="0" applyFont="0" applyFill="0" applyBorder="0" applyAlignment="0" applyProtection="0"/>
  </cellStyleXfs>
  <cellXfs count="567">
    <xf numFmtId="0" fontId="0" fillId="0" borderId="0" xfId="0" applyFont="1" applyAlignment="1"/>
    <xf numFmtId="0" fontId="0" fillId="0" borderId="0" xfId="0" applyNumberFormat="1" applyFont="1" applyAlignment="1"/>
    <xf numFmtId="0" fontId="0" fillId="0" borderId="0" xfId="0" applyNumberFormat="1" applyFont="1" applyBorder="1" applyAlignment="1"/>
    <xf numFmtId="0" fontId="0" fillId="0" borderId="0" xfId="0" applyFont="1" applyFill="1" applyBorder="1" applyAlignment="1"/>
    <xf numFmtId="0" fontId="0" fillId="0" borderId="0" xfId="0" applyNumberFormat="1" applyFont="1" applyFill="1" applyBorder="1" applyAlignment="1"/>
    <xf numFmtId="0" fontId="5" fillId="0" borderId="0" xfId="0" applyFont="1" applyFill="1" applyBorder="1" applyAlignment="1">
      <alignment vertical="center"/>
    </xf>
    <xf numFmtId="0" fontId="4" fillId="0" borderId="0" xfId="0" applyNumberFormat="1" applyFont="1" applyFill="1" applyBorder="1" applyAlignment="1">
      <alignment horizontal="center"/>
    </xf>
    <xf numFmtId="49" fontId="6"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170"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xf numFmtId="0" fontId="15" fillId="0" borderId="0" xfId="0" applyFont="1"/>
    <xf numFmtId="0" fontId="16" fillId="10" borderId="0" xfId="0" applyFont="1" applyFill="1"/>
    <xf numFmtId="0" fontId="16" fillId="10" borderId="0" xfId="0" applyFont="1" applyFill="1" applyAlignment="1">
      <alignment wrapText="1"/>
    </xf>
    <xf numFmtId="0" fontId="16" fillId="0" borderId="0" xfId="0" applyFont="1"/>
    <xf numFmtId="0" fontId="15" fillId="0" borderId="0" xfId="0" quotePrefix="1" applyFont="1"/>
    <xf numFmtId="0" fontId="16" fillId="12" borderId="15" xfId="0" applyFont="1" applyFill="1" applyBorder="1" applyAlignment="1">
      <alignment horizontal="left"/>
    </xf>
    <xf numFmtId="0" fontId="16" fillId="12" borderId="16" xfId="0" applyFont="1" applyFill="1" applyBorder="1"/>
    <xf numFmtId="0" fontId="15" fillId="12" borderId="16" xfId="0" applyFont="1" applyFill="1" applyBorder="1"/>
    <xf numFmtId="0" fontId="15" fillId="12" borderId="12" xfId="0" applyFont="1" applyFill="1" applyBorder="1"/>
    <xf numFmtId="0" fontId="15" fillId="0" borderId="0" xfId="0" applyFont="1" applyAlignment="1">
      <alignment horizontal="left"/>
    </xf>
    <xf numFmtId="0" fontId="15" fillId="0" borderId="0" xfId="0" applyFont="1" applyAlignment="1">
      <alignment horizontal="right"/>
    </xf>
    <xf numFmtId="171" fontId="15" fillId="0" borderId="0" xfId="1" applyNumberFormat="1" applyFont="1"/>
    <xf numFmtId="9" fontId="15" fillId="0" borderId="0" xfId="4" applyFont="1"/>
    <xf numFmtId="0" fontId="15" fillId="0" borderId="0" xfId="1" applyNumberFormat="1" applyFont="1"/>
    <xf numFmtId="0" fontId="15" fillId="12" borderId="16" xfId="0" applyFont="1" applyFill="1" applyBorder="1" applyAlignment="1">
      <alignment horizontal="right"/>
    </xf>
    <xf numFmtId="171" fontId="15" fillId="12" borderId="16" xfId="1" applyNumberFormat="1" applyFont="1" applyFill="1" applyBorder="1"/>
    <xf numFmtId="9" fontId="15" fillId="12" borderId="16" xfId="4" applyFont="1" applyFill="1" applyBorder="1"/>
    <xf numFmtId="171" fontId="15" fillId="12" borderId="16" xfId="0" applyNumberFormat="1" applyFont="1" applyFill="1" applyBorder="1"/>
    <xf numFmtId="0" fontId="15" fillId="12" borderId="16" xfId="1" applyNumberFormat="1" applyFont="1" applyFill="1" applyBorder="1"/>
    <xf numFmtId="0" fontId="15" fillId="12" borderId="12" xfId="0" applyNumberFormat="1" applyFont="1" applyFill="1" applyBorder="1"/>
    <xf numFmtId="0" fontId="15" fillId="0" borderId="0" xfId="0" applyFont="1" applyFill="1"/>
    <xf numFmtId="2" fontId="16" fillId="12" borderId="15" xfId="0" applyNumberFormat="1" applyFont="1" applyFill="1" applyBorder="1" applyAlignment="1">
      <alignment horizontal="left"/>
    </xf>
    <xf numFmtId="0" fontId="17" fillId="0" borderId="0" xfId="0" applyFont="1"/>
    <xf numFmtId="171" fontId="15" fillId="0" borderId="0" xfId="0" applyNumberFormat="1" applyFont="1"/>
    <xf numFmtId="0" fontId="15" fillId="0" borderId="0" xfId="0" applyNumberFormat="1" applyFont="1"/>
    <xf numFmtId="0" fontId="18" fillId="0" borderId="0" xfId="0" applyFont="1"/>
    <xf numFmtId="171" fontId="18" fillId="0" borderId="0" xfId="0" applyNumberFormat="1" applyFont="1"/>
    <xf numFmtId="0" fontId="19" fillId="0" borderId="0" xfId="0" applyFont="1" applyAlignment="1">
      <alignment horizontal="left"/>
    </xf>
    <xf numFmtId="0" fontId="19" fillId="0" borderId="0" xfId="0" applyFont="1"/>
    <xf numFmtId="0" fontId="19" fillId="0" borderId="0" xfId="0" applyFont="1" applyAlignment="1">
      <alignment horizontal="right"/>
    </xf>
    <xf numFmtId="171" fontId="19" fillId="0" borderId="0" xfId="1" applyNumberFormat="1" applyFont="1"/>
    <xf numFmtId="9" fontId="19" fillId="0" borderId="0" xfId="4" applyFont="1"/>
    <xf numFmtId="0" fontId="19" fillId="0" borderId="0" xfId="0" quotePrefix="1" applyFont="1"/>
    <xf numFmtId="0" fontId="19" fillId="0" borderId="0" xfId="1" applyNumberFormat="1" applyFont="1"/>
    <xf numFmtId="0" fontId="19" fillId="0" borderId="0" xfId="0" applyNumberFormat="1" applyFont="1"/>
    <xf numFmtId="49" fontId="0" fillId="5" borderId="0" xfId="0" applyNumberFormat="1" applyFont="1" applyFill="1" applyBorder="1" applyAlignment="1"/>
    <xf numFmtId="49" fontId="2" fillId="5" borderId="0" xfId="0" applyNumberFormat="1" applyFont="1" applyFill="1" applyBorder="1" applyAlignment="1"/>
    <xf numFmtId="0" fontId="0" fillId="5" borderId="0" xfId="0" applyFont="1" applyFill="1" applyBorder="1" applyAlignment="1"/>
    <xf numFmtId="0" fontId="0" fillId="0" borderId="0" xfId="0" applyFont="1" applyBorder="1" applyAlignment="1"/>
    <xf numFmtId="0" fontId="0" fillId="5" borderId="0" xfId="0" applyNumberFormat="1" applyFont="1" applyFill="1" applyBorder="1" applyAlignment="1"/>
    <xf numFmtId="49" fontId="3" fillId="5" borderId="0" xfId="0" applyNumberFormat="1" applyFont="1" applyFill="1" applyBorder="1" applyAlignment="1"/>
    <xf numFmtId="0" fontId="12" fillId="0" borderId="0" xfId="3" applyFont="1" applyBorder="1"/>
    <xf numFmtId="49" fontId="9" fillId="5" borderId="0" xfId="0" applyNumberFormat="1" applyFont="1" applyFill="1" applyBorder="1" applyAlignment="1"/>
    <xf numFmtId="49" fontId="0" fillId="0" borderId="0" xfId="0" applyNumberFormat="1" applyFont="1" applyBorder="1" applyAlignment="1"/>
    <xf numFmtId="0" fontId="1" fillId="0" borderId="0" xfId="0" applyNumberFormat="1" applyFont="1" applyAlignment="1"/>
    <xf numFmtId="0" fontId="11" fillId="6" borderId="11" xfId="0" applyFont="1" applyFill="1" applyBorder="1" applyAlignment="1"/>
    <xf numFmtId="168" fontId="21" fillId="5" borderId="2" xfId="0" applyNumberFormat="1" applyFont="1" applyFill="1" applyBorder="1" applyAlignment="1">
      <alignment horizontal="center"/>
    </xf>
    <xf numFmtId="168" fontId="21" fillId="7" borderId="7" xfId="0" applyNumberFormat="1" applyFont="1" applyFill="1" applyBorder="1" applyAlignment="1">
      <alignment horizontal="center"/>
    </xf>
    <xf numFmtId="49" fontId="21" fillId="5" borderId="3" xfId="0" applyNumberFormat="1" applyFont="1" applyFill="1" applyBorder="1" applyAlignment="1">
      <alignment horizontal="center"/>
    </xf>
    <xf numFmtId="49" fontId="21" fillId="5" borderId="2" xfId="0" applyNumberFormat="1" applyFont="1" applyFill="1" applyBorder="1" applyAlignment="1">
      <alignment horizontal="center"/>
    </xf>
    <xf numFmtId="49" fontId="21" fillId="0" borderId="10" xfId="0" applyNumberFormat="1" applyFont="1" applyBorder="1" applyAlignment="1">
      <alignment horizontal="center"/>
    </xf>
    <xf numFmtId="0" fontId="11" fillId="0" borderId="0" xfId="0" applyFont="1" applyAlignment="1">
      <alignment horizontal="center"/>
    </xf>
    <xf numFmtId="0" fontId="11" fillId="5" borderId="5" xfId="0" applyFont="1" applyFill="1" applyBorder="1" applyAlignment="1"/>
    <xf numFmtId="49" fontId="21" fillId="6" borderId="6" xfId="0" applyNumberFormat="1" applyFont="1" applyFill="1" applyBorder="1" applyAlignment="1"/>
    <xf numFmtId="168" fontId="21" fillId="7" borderId="6" xfId="0" applyNumberFormat="1" applyFont="1" applyFill="1" applyBorder="1" applyAlignment="1"/>
    <xf numFmtId="168" fontId="11" fillId="6" borderId="6" xfId="0" applyNumberFormat="1" applyFont="1" applyFill="1" applyBorder="1" applyAlignment="1"/>
    <xf numFmtId="168" fontId="11" fillId="7" borderId="6" xfId="0" applyNumberFormat="1" applyFont="1" applyFill="1" applyBorder="1" applyAlignment="1"/>
    <xf numFmtId="168" fontId="11" fillId="6" borderId="8" xfId="0" applyNumberFormat="1" applyFont="1" applyFill="1" applyBorder="1" applyAlignment="1"/>
    <xf numFmtId="0" fontId="11" fillId="12" borderId="11" xfId="0" applyFont="1" applyFill="1" applyBorder="1" applyAlignment="1"/>
    <xf numFmtId="166" fontId="11" fillId="12" borderId="11" xfId="1" applyFont="1" applyFill="1" applyBorder="1" applyAlignment="1"/>
    <xf numFmtId="0" fontId="11" fillId="0" borderId="0" xfId="0" applyFont="1" applyAlignment="1"/>
    <xf numFmtId="49" fontId="11" fillId="6" borderId="6" xfId="0" applyNumberFormat="1" applyFont="1" applyFill="1" applyBorder="1" applyAlignment="1">
      <alignment horizontal="left" indent="1"/>
    </xf>
    <xf numFmtId="166" fontId="11" fillId="6" borderId="8" xfId="1" applyFont="1" applyFill="1" applyBorder="1" applyAlignment="1"/>
    <xf numFmtId="49" fontId="11" fillId="6" borderId="11" xfId="0" applyNumberFormat="1" applyFont="1" applyFill="1" applyBorder="1" applyAlignment="1"/>
    <xf numFmtId="0" fontId="11" fillId="12" borderId="11" xfId="0" applyFont="1" applyFill="1" applyBorder="1" applyAlignment="1">
      <alignment wrapText="1"/>
    </xf>
    <xf numFmtId="49" fontId="11" fillId="6" borderId="14" xfId="0" applyNumberFormat="1" applyFont="1" applyFill="1" applyBorder="1" applyAlignment="1">
      <alignment horizontal="right"/>
    </xf>
    <xf numFmtId="168" fontId="11" fillId="7" borderId="14" xfId="0" applyNumberFormat="1" applyFont="1" applyFill="1" applyBorder="1" applyAlignment="1"/>
    <xf numFmtId="168" fontId="11" fillId="6" borderId="14" xfId="0" applyNumberFormat="1" applyFont="1" applyFill="1" applyBorder="1" applyAlignment="1"/>
    <xf numFmtId="166" fontId="11" fillId="6" borderId="23" xfId="1" applyFont="1" applyFill="1" applyBorder="1" applyAlignment="1"/>
    <xf numFmtId="49" fontId="11" fillId="6" borderId="18" xfId="0" applyNumberFormat="1" applyFont="1" applyFill="1" applyBorder="1" applyAlignment="1"/>
    <xf numFmtId="0" fontId="11" fillId="12" borderId="18" xfId="0" applyFont="1" applyFill="1" applyBorder="1" applyAlignment="1"/>
    <xf numFmtId="168" fontId="11" fillId="6" borderId="14" xfId="0" applyNumberFormat="1" applyFont="1" applyFill="1" applyBorder="1" applyAlignment="1">
      <alignment horizontal="right"/>
    </xf>
    <xf numFmtId="0" fontId="11" fillId="6" borderId="18" xfId="0" applyFont="1" applyFill="1" applyBorder="1" applyAlignment="1"/>
    <xf numFmtId="0" fontId="11" fillId="5" borderId="27" xfId="0" applyFont="1" applyFill="1" applyBorder="1" applyAlignment="1">
      <alignment vertical="center"/>
    </xf>
    <xf numFmtId="49" fontId="22" fillId="6" borderId="30" xfId="0" applyNumberFormat="1" applyFont="1" applyFill="1" applyBorder="1" applyAlignment="1">
      <alignment horizontal="right" vertical="center"/>
    </xf>
    <xf numFmtId="168" fontId="22" fillId="7" borderId="31" xfId="0" applyNumberFormat="1" applyFont="1" applyFill="1" applyBorder="1" applyAlignment="1">
      <alignment vertical="center"/>
    </xf>
    <xf numFmtId="168" fontId="22" fillId="6" borderId="31" xfId="0" applyNumberFormat="1" applyFont="1" applyFill="1" applyBorder="1" applyAlignment="1">
      <alignment vertical="center"/>
    </xf>
    <xf numFmtId="168" fontId="23" fillId="7" borderId="31" xfId="0" applyNumberFormat="1" applyFont="1" applyFill="1" applyBorder="1" applyAlignment="1">
      <alignment vertical="center"/>
    </xf>
    <xf numFmtId="168" fontId="23" fillId="6" borderId="31" xfId="0" applyNumberFormat="1" applyFont="1" applyFill="1" applyBorder="1" applyAlignment="1">
      <alignment vertical="center"/>
    </xf>
    <xf numFmtId="166" fontId="22" fillId="6" borderId="32" xfId="1" applyFont="1" applyFill="1" applyBorder="1" applyAlignment="1">
      <alignment vertical="center"/>
    </xf>
    <xf numFmtId="0" fontId="23" fillId="6" borderId="33" xfId="0" applyFont="1" applyFill="1" applyBorder="1" applyAlignment="1">
      <alignment vertical="center"/>
    </xf>
    <xf numFmtId="0" fontId="22" fillId="12" borderId="33" xfId="0" applyFont="1" applyFill="1" applyBorder="1" applyAlignment="1">
      <alignment vertical="center"/>
    </xf>
    <xf numFmtId="166" fontId="21" fillId="12" borderId="11" xfId="1" applyFont="1" applyFill="1" applyBorder="1" applyAlignment="1">
      <alignment vertical="center"/>
    </xf>
    <xf numFmtId="0" fontId="11" fillId="0" borderId="0" xfId="0" applyFont="1" applyAlignment="1">
      <alignment vertical="center"/>
    </xf>
    <xf numFmtId="168" fontId="11" fillId="5" borderId="13" xfId="0" applyNumberFormat="1" applyFont="1" applyFill="1" applyBorder="1" applyAlignment="1"/>
    <xf numFmtId="168" fontId="11" fillId="7" borderId="13" xfId="0" applyNumberFormat="1" applyFont="1" applyFill="1" applyBorder="1" applyAlignment="1"/>
    <xf numFmtId="168" fontId="11" fillId="0" borderId="25" xfId="0" applyNumberFormat="1" applyFont="1" applyFill="1" applyBorder="1" applyAlignment="1"/>
    <xf numFmtId="0" fontId="11" fillId="0" borderId="29" xfId="0" applyFont="1" applyBorder="1" applyAlignment="1"/>
    <xf numFmtId="166" fontId="11" fillId="0" borderId="11" xfId="1" applyFont="1" applyBorder="1" applyAlignment="1"/>
    <xf numFmtId="49" fontId="21" fillId="5" borderId="6" xfId="0" applyNumberFormat="1" applyFont="1" applyFill="1" applyBorder="1" applyAlignment="1"/>
    <xf numFmtId="168" fontId="11" fillId="5" borderId="6" xfId="0" applyNumberFormat="1" applyFont="1" applyFill="1" applyBorder="1" applyAlignment="1"/>
    <xf numFmtId="168" fontId="11" fillId="0" borderId="8" xfId="0" applyNumberFormat="1" applyFont="1" applyFill="1" applyBorder="1" applyAlignment="1"/>
    <xf numFmtId="168" fontId="21" fillId="0" borderId="8" xfId="0" applyNumberFormat="1" applyFont="1" applyFill="1" applyBorder="1" applyAlignment="1"/>
    <xf numFmtId="0" fontId="11" fillId="0" borderId="11" xfId="0" applyFont="1" applyBorder="1" applyAlignment="1"/>
    <xf numFmtId="0" fontId="11" fillId="5" borderId="5" xfId="0" applyNumberFormat="1" applyFont="1" applyFill="1" applyBorder="1" applyAlignment="1"/>
    <xf numFmtId="49" fontId="11" fillId="10" borderId="6" xfId="0" applyNumberFormat="1" applyFont="1" applyFill="1" applyBorder="1" applyAlignment="1">
      <alignment horizontal="left" indent="1"/>
    </xf>
    <xf numFmtId="168" fontId="11" fillId="10" borderId="6" xfId="0" applyNumberFormat="1" applyFont="1" applyFill="1" applyBorder="1" applyAlignment="1"/>
    <xf numFmtId="168" fontId="11" fillId="10" borderId="8" xfId="0" applyNumberFormat="1" applyFont="1" applyFill="1" applyBorder="1" applyAlignment="1"/>
    <xf numFmtId="168" fontId="21" fillId="10" borderId="8" xfId="0" applyNumberFormat="1" applyFont="1" applyFill="1" applyBorder="1" applyAlignment="1"/>
    <xf numFmtId="49" fontId="11" fillId="10" borderId="11" xfId="0" applyNumberFormat="1" applyFont="1" applyFill="1" applyBorder="1" applyAlignment="1"/>
    <xf numFmtId="0" fontId="11" fillId="10" borderId="11" xfId="0" applyFont="1" applyFill="1" applyBorder="1" applyAlignment="1"/>
    <xf numFmtId="166" fontId="21" fillId="10" borderId="11" xfId="1" applyFont="1" applyFill="1" applyBorder="1" applyAlignment="1"/>
    <xf numFmtId="0" fontId="21" fillId="10" borderId="11" xfId="0" applyFont="1" applyFill="1" applyBorder="1" applyAlignment="1"/>
    <xf numFmtId="0" fontId="24" fillId="10" borderId="11" xfId="0" applyFont="1" applyFill="1" applyBorder="1" applyAlignment="1">
      <alignment wrapText="1"/>
    </xf>
    <xf numFmtId="49" fontId="11" fillId="10" borderId="6" xfId="0" applyNumberFormat="1" applyFont="1" applyFill="1" applyBorder="1" applyAlignment="1">
      <alignment wrapText="1"/>
    </xf>
    <xf numFmtId="168" fontId="11" fillId="10" borderId="6" xfId="0" applyNumberFormat="1" applyFont="1" applyFill="1" applyBorder="1" applyAlignment="1">
      <alignment wrapText="1"/>
    </xf>
    <xf numFmtId="168" fontId="11" fillId="10" borderId="8" xfId="0" applyNumberFormat="1" applyFont="1" applyFill="1" applyBorder="1" applyAlignment="1">
      <alignment wrapText="1"/>
    </xf>
    <xf numFmtId="49" fontId="24" fillId="10" borderId="11" xfId="0" applyNumberFormat="1" applyFont="1" applyFill="1" applyBorder="1" applyAlignment="1">
      <alignment wrapText="1"/>
    </xf>
    <xf numFmtId="49" fontId="21" fillId="10" borderId="6" xfId="0" applyNumberFormat="1" applyFont="1" applyFill="1" applyBorder="1" applyAlignment="1">
      <alignment horizontal="right"/>
    </xf>
    <xf numFmtId="168" fontId="21" fillId="10" borderId="6" xfId="0" applyNumberFormat="1" applyFont="1" applyFill="1" applyBorder="1" applyAlignment="1"/>
    <xf numFmtId="49" fontId="21" fillId="2" borderId="6" xfId="0" applyNumberFormat="1" applyFont="1" applyFill="1" applyBorder="1" applyAlignment="1"/>
    <xf numFmtId="168" fontId="11" fillId="2" borderId="6" xfId="0" applyNumberFormat="1" applyFont="1" applyFill="1" applyBorder="1" applyAlignment="1"/>
    <xf numFmtId="168" fontId="11" fillId="2" borderId="8" xfId="0" applyNumberFormat="1" applyFont="1" applyFill="1" applyBorder="1" applyAlignment="1"/>
    <xf numFmtId="168" fontId="21" fillId="2" borderId="8" xfId="0" applyNumberFormat="1" applyFont="1" applyFill="1" applyBorder="1" applyAlignment="1"/>
    <xf numFmtId="0" fontId="11" fillId="2" borderId="11" xfId="0" applyFont="1" applyFill="1" applyBorder="1" applyAlignment="1"/>
    <xf numFmtId="166" fontId="11" fillId="9" borderId="11" xfId="1" applyFont="1" applyFill="1" applyBorder="1" applyAlignment="1"/>
    <xf numFmtId="0" fontId="11" fillId="9" borderId="11" xfId="0" applyFont="1" applyFill="1" applyBorder="1" applyAlignment="1"/>
    <xf numFmtId="49" fontId="11" fillId="2" borderId="6" xfId="0" applyNumberFormat="1" applyFont="1" applyFill="1" applyBorder="1" applyAlignment="1">
      <alignment horizontal="left" wrapText="1" indent="1"/>
    </xf>
    <xf numFmtId="49" fontId="11" fillId="2" borderId="6" xfId="0" applyNumberFormat="1" applyFont="1" applyFill="1" applyBorder="1" applyAlignment="1">
      <alignment horizontal="left" indent="1"/>
    </xf>
    <xf numFmtId="168" fontId="11" fillId="7" borderId="6" xfId="0" applyNumberFormat="1" applyFont="1" applyFill="1" applyBorder="1" applyAlignment="1">
      <alignment wrapText="1"/>
    </xf>
    <xf numFmtId="49" fontId="11" fillId="2" borderId="6" xfId="0" applyNumberFormat="1" applyFont="1" applyFill="1" applyBorder="1" applyAlignment="1">
      <alignment wrapText="1"/>
    </xf>
    <xf numFmtId="49" fontId="11" fillId="2" borderId="11" xfId="0" applyNumberFormat="1" applyFont="1" applyFill="1" applyBorder="1" applyAlignment="1"/>
    <xf numFmtId="166" fontId="11" fillId="2" borderId="6" xfId="1" applyFont="1" applyFill="1" applyBorder="1" applyAlignment="1"/>
    <xf numFmtId="166" fontId="11" fillId="2" borderId="8" xfId="1" applyFont="1" applyFill="1" applyBorder="1" applyAlignment="1"/>
    <xf numFmtId="49" fontId="11" fillId="2" borderId="11" xfId="0" applyNumberFormat="1" applyFont="1" applyFill="1" applyBorder="1" applyAlignment="1">
      <alignment horizontal="left" wrapText="1"/>
    </xf>
    <xf numFmtId="49" fontId="11" fillId="2" borderId="6" xfId="0" applyNumberFormat="1" applyFont="1" applyFill="1" applyBorder="1" applyAlignment="1"/>
    <xf numFmtId="168" fontId="11" fillId="2" borderId="6" xfId="0" applyNumberFormat="1" applyFont="1" applyFill="1" applyBorder="1" applyAlignment="1">
      <alignment wrapText="1"/>
    </xf>
    <xf numFmtId="49" fontId="11" fillId="2" borderId="11" xfId="0" applyNumberFormat="1" applyFont="1" applyFill="1" applyBorder="1" applyAlignment="1">
      <alignment wrapText="1"/>
    </xf>
    <xf numFmtId="49" fontId="21" fillId="2" borderId="6" xfId="0" applyNumberFormat="1" applyFont="1" applyFill="1" applyBorder="1" applyAlignment="1">
      <alignment wrapText="1"/>
    </xf>
    <xf numFmtId="168" fontId="21" fillId="7" borderId="6" xfId="0" applyNumberFormat="1" applyFont="1" applyFill="1" applyBorder="1" applyAlignment="1">
      <alignment wrapText="1"/>
    </xf>
    <xf numFmtId="49" fontId="21" fillId="2" borderId="6" xfId="0" applyNumberFormat="1" applyFont="1" applyFill="1" applyBorder="1" applyAlignment="1">
      <alignment horizontal="right"/>
    </xf>
    <xf numFmtId="168" fontId="21" fillId="2" borderId="6" xfId="0" applyNumberFormat="1" applyFont="1" applyFill="1" applyBorder="1" applyAlignment="1"/>
    <xf numFmtId="166" fontId="21" fillId="9" borderId="11" xfId="1" applyFont="1" applyFill="1" applyBorder="1" applyAlignment="1"/>
    <xf numFmtId="0" fontId="21" fillId="9" borderId="11" xfId="0" applyFont="1" applyFill="1" applyBorder="1" applyAlignment="1"/>
    <xf numFmtId="49" fontId="21" fillId="0" borderId="6" xfId="0" applyNumberFormat="1" applyFont="1" applyFill="1" applyBorder="1" applyAlignment="1"/>
    <xf numFmtId="168" fontId="21" fillId="0" borderId="6" xfId="0" applyNumberFormat="1" applyFont="1" applyFill="1" applyBorder="1" applyAlignment="1"/>
    <xf numFmtId="168" fontId="11" fillId="0" borderId="6" xfId="0" applyNumberFormat="1" applyFont="1" applyFill="1" applyBorder="1" applyAlignment="1"/>
    <xf numFmtId="0" fontId="11" fillId="0" borderId="11" xfId="0" applyFont="1" applyFill="1" applyBorder="1" applyAlignment="1"/>
    <xf numFmtId="166" fontId="21" fillId="0" borderId="11" xfId="1" applyFont="1" applyFill="1" applyBorder="1" applyAlignment="1"/>
    <xf numFmtId="0" fontId="21" fillId="0" borderId="11" xfId="0" applyFont="1" applyFill="1" applyBorder="1" applyAlignment="1"/>
    <xf numFmtId="49" fontId="21" fillId="14" borderId="6" xfId="0" applyNumberFormat="1" applyFont="1" applyFill="1" applyBorder="1" applyAlignment="1"/>
    <xf numFmtId="168" fontId="21" fillId="14" borderId="6" xfId="0" applyNumberFormat="1" applyFont="1" applyFill="1" applyBorder="1" applyAlignment="1"/>
    <xf numFmtId="168" fontId="11" fillId="14" borderId="6" xfId="0" applyNumberFormat="1" applyFont="1" applyFill="1" applyBorder="1" applyAlignment="1"/>
    <xf numFmtId="168" fontId="21" fillId="14" borderId="8" xfId="0" applyNumberFormat="1" applyFont="1" applyFill="1" applyBorder="1" applyAlignment="1"/>
    <xf numFmtId="0" fontId="11" fillId="14" borderId="11" xfId="0" applyFont="1" applyFill="1" applyBorder="1" applyAlignment="1"/>
    <xf numFmtId="166" fontId="21" fillId="14" borderId="11" xfId="1" applyFont="1" applyFill="1" applyBorder="1" applyAlignment="1"/>
    <xf numFmtId="0" fontId="21" fillId="14" borderId="11" xfId="0" applyFont="1" applyFill="1" applyBorder="1" applyAlignment="1"/>
    <xf numFmtId="168" fontId="21" fillId="14" borderId="14" xfId="0" applyNumberFormat="1" applyFont="1" applyFill="1" applyBorder="1" applyAlignment="1"/>
    <xf numFmtId="168" fontId="21" fillId="14" borderId="23" xfId="0" applyNumberFormat="1" applyFont="1" applyFill="1" applyBorder="1" applyAlignment="1"/>
    <xf numFmtId="166" fontId="11" fillId="0" borderId="0" xfId="1" applyFont="1" applyAlignment="1"/>
    <xf numFmtId="49" fontId="11" fillId="14" borderId="6" xfId="0" applyNumberFormat="1" applyFont="1" applyFill="1" applyBorder="1" applyAlignment="1">
      <alignment horizontal="left" indent="1"/>
    </xf>
    <xf numFmtId="168" fontId="11" fillId="7" borderId="8" xfId="0" applyNumberFormat="1" applyFont="1" applyFill="1" applyBorder="1" applyAlignment="1"/>
    <xf numFmtId="168" fontId="11" fillId="14" borderId="8" xfId="0" applyNumberFormat="1" applyFont="1" applyFill="1" applyBorder="1" applyAlignment="1"/>
    <xf numFmtId="0" fontId="11" fillId="14" borderId="19" xfId="0" applyFont="1" applyFill="1" applyBorder="1" applyAlignment="1"/>
    <xf numFmtId="49" fontId="11" fillId="14" borderId="6" xfId="0" applyNumberFormat="1" applyFont="1" applyFill="1" applyBorder="1" applyAlignment="1">
      <alignment horizontal="left" wrapText="1" indent="1"/>
    </xf>
    <xf numFmtId="168" fontId="21" fillId="14" borderId="6" xfId="0" applyNumberFormat="1" applyFont="1" applyFill="1" applyBorder="1" applyAlignment="1">
      <alignment horizontal="right" wrapText="1"/>
    </xf>
    <xf numFmtId="166" fontId="21" fillId="14" borderId="19" xfId="1" applyFont="1" applyFill="1" applyBorder="1" applyAlignment="1"/>
    <xf numFmtId="166" fontId="11" fillId="14" borderId="11" xfId="0" applyNumberFormat="1" applyFont="1" applyFill="1" applyBorder="1" applyAlignment="1"/>
    <xf numFmtId="0" fontId="11" fillId="0" borderId="5" xfId="0" applyFont="1" applyFill="1" applyBorder="1" applyAlignment="1"/>
    <xf numFmtId="168" fontId="11" fillId="0" borderId="11" xfId="0" applyNumberFormat="1" applyFont="1" applyFill="1" applyBorder="1" applyAlignment="1"/>
    <xf numFmtId="168" fontId="11" fillId="0" borderId="24" xfId="0" applyNumberFormat="1" applyFont="1" applyFill="1" applyBorder="1" applyAlignment="1"/>
    <xf numFmtId="166" fontId="11" fillId="0" borderId="11" xfId="1" applyFont="1" applyFill="1" applyBorder="1" applyAlignment="1"/>
    <xf numFmtId="0" fontId="11" fillId="0" borderId="0" xfId="0" applyFont="1" applyFill="1" applyAlignment="1"/>
    <xf numFmtId="49" fontId="21" fillId="4" borderId="6" xfId="0" applyNumberFormat="1" applyFont="1" applyFill="1" applyBorder="1" applyAlignment="1"/>
    <xf numFmtId="168" fontId="11" fillId="4" borderId="6" xfId="0" applyNumberFormat="1" applyFont="1" applyFill="1" applyBorder="1" applyAlignment="1"/>
    <xf numFmtId="168" fontId="11" fillId="4" borderId="13" xfId="0" applyNumberFormat="1" applyFont="1" applyFill="1" applyBorder="1" applyAlignment="1"/>
    <xf numFmtId="168" fontId="11" fillId="4" borderId="25" xfId="0" applyNumberFormat="1" applyFont="1" applyFill="1" applyBorder="1" applyAlignment="1"/>
    <xf numFmtId="0" fontId="11" fillId="4" borderId="11" xfId="0" applyFont="1" applyFill="1" applyBorder="1" applyAlignment="1"/>
    <xf numFmtId="166" fontId="11" fillId="8" borderId="11" xfId="1" applyFont="1" applyFill="1" applyBorder="1" applyAlignment="1"/>
    <xf numFmtId="0" fontId="11" fillId="8" borderId="11" xfId="0" applyFont="1" applyFill="1" applyBorder="1" applyAlignment="1"/>
    <xf numFmtId="49" fontId="11" fillId="4" borderId="6" xfId="0" applyNumberFormat="1" applyFont="1" applyFill="1" applyBorder="1" applyAlignment="1">
      <alignment horizontal="left" indent="1"/>
    </xf>
    <xf numFmtId="49" fontId="11" fillId="4" borderId="6" xfId="0" applyNumberFormat="1" applyFont="1" applyFill="1" applyBorder="1" applyAlignment="1">
      <alignment wrapText="1"/>
    </xf>
    <xf numFmtId="168" fontId="11" fillId="4" borderId="8" xfId="0" applyNumberFormat="1" applyFont="1" applyFill="1" applyBorder="1" applyAlignment="1"/>
    <xf numFmtId="168" fontId="21" fillId="4" borderId="8" xfId="0" applyNumberFormat="1" applyFont="1" applyFill="1" applyBorder="1" applyAlignment="1"/>
    <xf numFmtId="49" fontId="11" fillId="4" borderId="11" xfId="0" applyNumberFormat="1" applyFont="1" applyFill="1" applyBorder="1" applyAlignment="1"/>
    <xf numFmtId="0" fontId="11" fillId="8" borderId="11" xfId="0" applyFont="1" applyFill="1" applyBorder="1" applyAlignment="1">
      <alignment wrapText="1"/>
    </xf>
    <xf numFmtId="49" fontId="11" fillId="8" borderId="6" xfId="0" applyNumberFormat="1" applyFont="1" applyFill="1" applyBorder="1" applyAlignment="1">
      <alignment horizontal="left" indent="1"/>
    </xf>
    <xf numFmtId="168" fontId="11" fillId="8" borderId="6" xfId="0" applyNumberFormat="1" applyFont="1" applyFill="1" applyBorder="1" applyAlignment="1"/>
    <xf numFmtId="168" fontId="11" fillId="8" borderId="8" xfId="0" applyNumberFormat="1" applyFont="1" applyFill="1" applyBorder="1" applyAlignment="1"/>
    <xf numFmtId="49" fontId="21" fillId="4" borderId="6" xfId="0" applyNumberFormat="1" applyFont="1" applyFill="1" applyBorder="1" applyAlignment="1">
      <alignment horizontal="right"/>
    </xf>
    <xf numFmtId="168" fontId="21" fillId="4" borderId="6" xfId="0" applyNumberFormat="1" applyFont="1" applyFill="1" applyBorder="1" applyAlignment="1"/>
    <xf numFmtId="0" fontId="21" fillId="4" borderId="11" xfId="0" applyFont="1" applyFill="1" applyBorder="1" applyAlignment="1"/>
    <xf numFmtId="166" fontId="21" fillId="8" borderId="11" xfId="1" applyFont="1" applyFill="1" applyBorder="1" applyAlignment="1"/>
    <xf numFmtId="0" fontId="21" fillId="8" borderId="11" xfId="0" applyFont="1" applyFill="1" applyBorder="1" applyAlignment="1"/>
    <xf numFmtId="168" fontId="11" fillId="5" borderId="8" xfId="0" applyNumberFormat="1" applyFont="1" applyFill="1" applyBorder="1" applyAlignment="1"/>
    <xf numFmtId="168" fontId="21" fillId="5" borderId="8" xfId="0" applyNumberFormat="1" applyFont="1" applyFill="1" applyBorder="1" applyAlignment="1"/>
    <xf numFmtId="49" fontId="21" fillId="3" borderId="6" xfId="0" applyNumberFormat="1" applyFont="1" applyFill="1" applyBorder="1" applyAlignment="1"/>
    <xf numFmtId="168" fontId="11" fillId="3" borderId="6" xfId="0" applyNumberFormat="1" applyFont="1" applyFill="1" applyBorder="1" applyAlignment="1"/>
    <xf numFmtId="168" fontId="11" fillId="3" borderId="8" xfId="0" applyNumberFormat="1" applyFont="1" applyFill="1" applyBorder="1" applyAlignment="1"/>
    <xf numFmtId="168" fontId="21" fillId="3" borderId="8" xfId="0" applyNumberFormat="1" applyFont="1" applyFill="1" applyBorder="1" applyAlignment="1"/>
    <xf numFmtId="0" fontId="11" fillId="3" borderId="11" xfId="0" applyFont="1" applyFill="1" applyBorder="1" applyAlignment="1"/>
    <xf numFmtId="166" fontId="11" fillId="13" borderId="11" xfId="1" applyFont="1" applyFill="1" applyBorder="1" applyAlignment="1"/>
    <xf numFmtId="0" fontId="11" fillId="13" borderId="11" xfId="0" applyFont="1" applyFill="1" applyBorder="1" applyAlignment="1"/>
    <xf numFmtId="49" fontId="11" fillId="3" borderId="6" xfId="0" applyNumberFormat="1" applyFont="1" applyFill="1" applyBorder="1" applyAlignment="1">
      <alignment horizontal="left" indent="1"/>
    </xf>
    <xf numFmtId="49" fontId="11" fillId="3" borderId="11" xfId="0" applyNumberFormat="1" applyFont="1" applyFill="1" applyBorder="1" applyAlignment="1"/>
    <xf numFmtId="49" fontId="11" fillId="3" borderId="6" xfId="0" applyNumberFormat="1" applyFont="1" applyFill="1" applyBorder="1" applyAlignment="1">
      <alignment horizontal="left" wrapText="1" indent="1"/>
    </xf>
    <xf numFmtId="49" fontId="11" fillId="3" borderId="6" xfId="0" applyNumberFormat="1" applyFont="1" applyFill="1" applyBorder="1" applyAlignment="1"/>
    <xf numFmtId="0" fontId="11" fillId="13" borderId="11" xfId="0" applyFont="1" applyFill="1" applyBorder="1" applyAlignment="1">
      <alignment wrapText="1"/>
    </xf>
    <xf numFmtId="168" fontId="11" fillId="7" borderId="6" xfId="0" applyNumberFormat="1" applyFont="1" applyFill="1" applyBorder="1" applyAlignment="1">
      <alignment horizontal="left"/>
    </xf>
    <xf numFmtId="49" fontId="11" fillId="3" borderId="8" xfId="0" applyNumberFormat="1" applyFont="1" applyFill="1" applyBorder="1" applyAlignment="1">
      <alignment wrapText="1"/>
    </xf>
    <xf numFmtId="49" fontId="11" fillId="3" borderId="6" xfId="0" applyNumberFormat="1" applyFont="1" applyFill="1" applyBorder="1" applyAlignment="1">
      <alignment wrapText="1"/>
    </xf>
    <xf numFmtId="49" fontId="21" fillId="3" borderId="6" xfId="0" applyNumberFormat="1" applyFont="1" applyFill="1" applyBorder="1" applyAlignment="1">
      <alignment horizontal="right"/>
    </xf>
    <xf numFmtId="168" fontId="21" fillId="3" borderId="6" xfId="0" applyNumberFormat="1" applyFont="1" applyFill="1" applyBorder="1" applyAlignment="1"/>
    <xf numFmtId="166" fontId="21" fillId="13" borderId="11" xfId="1" applyFont="1" applyFill="1" applyBorder="1" applyAlignment="1"/>
    <xf numFmtId="0" fontId="21" fillId="13" borderId="11" xfId="0" applyFont="1" applyFill="1" applyBorder="1" applyAlignment="1"/>
    <xf numFmtId="168" fontId="21" fillId="5" borderId="14" xfId="0" applyNumberFormat="1" applyFont="1" applyFill="1" applyBorder="1" applyAlignment="1"/>
    <xf numFmtId="168" fontId="21" fillId="7" borderId="14" xfId="0" applyNumberFormat="1" applyFont="1" applyFill="1" applyBorder="1" applyAlignment="1"/>
    <xf numFmtId="168" fontId="11" fillId="5" borderId="14" xfId="0" applyNumberFormat="1" applyFont="1" applyFill="1" applyBorder="1" applyAlignment="1"/>
    <xf numFmtId="168" fontId="11" fillId="5" borderId="23" xfId="0" applyNumberFormat="1" applyFont="1" applyFill="1" applyBorder="1" applyAlignment="1"/>
    <xf numFmtId="0" fontId="11" fillId="0" borderId="18" xfId="0" applyFont="1" applyBorder="1" applyAlignment="1"/>
    <xf numFmtId="0" fontId="23" fillId="5" borderId="27" xfId="0" applyFont="1" applyFill="1" applyBorder="1" applyAlignment="1">
      <alignment vertical="center"/>
    </xf>
    <xf numFmtId="49" fontId="22" fillId="5" borderId="30" xfId="0" applyNumberFormat="1" applyFont="1" applyFill="1" applyBorder="1" applyAlignment="1">
      <alignment horizontal="right" vertical="center"/>
    </xf>
    <xf numFmtId="168" fontId="22" fillId="5" borderId="31" xfId="0" applyNumberFormat="1" applyFont="1" applyFill="1" applyBorder="1" applyAlignment="1">
      <alignment vertical="center"/>
    </xf>
    <xf numFmtId="168" fontId="23" fillId="5" borderId="31" xfId="0" applyNumberFormat="1" applyFont="1" applyFill="1" applyBorder="1" applyAlignment="1">
      <alignment vertical="center"/>
    </xf>
    <xf numFmtId="168" fontId="22" fillId="5" borderId="32" xfId="0" applyNumberFormat="1" applyFont="1" applyFill="1" applyBorder="1" applyAlignment="1">
      <alignment vertical="center"/>
    </xf>
    <xf numFmtId="0" fontId="23" fillId="0" borderId="33" xfId="0" applyFont="1" applyBorder="1" applyAlignment="1">
      <alignment vertical="center"/>
    </xf>
    <xf numFmtId="0" fontId="22" fillId="0" borderId="33" xfId="0" applyFont="1" applyBorder="1" applyAlignment="1">
      <alignment vertical="center"/>
    </xf>
    <xf numFmtId="166" fontId="22" fillId="0" borderId="21" xfId="1" applyFont="1" applyBorder="1" applyAlignment="1">
      <alignment vertical="center"/>
    </xf>
    <xf numFmtId="0" fontId="23" fillId="0" borderId="0" xfId="0" applyFont="1" applyAlignment="1">
      <alignment vertical="center"/>
    </xf>
    <xf numFmtId="168" fontId="21" fillId="5" borderId="13" xfId="0" applyNumberFormat="1" applyFont="1" applyFill="1" applyBorder="1" applyAlignment="1"/>
    <xf numFmtId="168" fontId="21" fillId="7" borderId="13" xfId="0" applyNumberFormat="1" applyFont="1" applyFill="1" applyBorder="1" applyAlignment="1"/>
    <xf numFmtId="0" fontId="11" fillId="5" borderId="13" xfId="0" applyFont="1" applyFill="1" applyBorder="1" applyAlignment="1"/>
    <xf numFmtId="168" fontId="11" fillId="5" borderId="25" xfId="0" applyNumberFormat="1" applyFont="1" applyFill="1" applyBorder="1" applyAlignment="1"/>
    <xf numFmtId="168" fontId="21" fillId="5" borderId="6" xfId="0" applyNumberFormat="1" applyFont="1" applyFill="1" applyBorder="1" applyAlignment="1"/>
    <xf numFmtId="49" fontId="21" fillId="9" borderId="6" xfId="0" applyNumberFormat="1" applyFont="1" applyFill="1" applyBorder="1" applyAlignment="1"/>
    <xf numFmtId="168" fontId="21" fillId="11" borderId="6" xfId="0" applyNumberFormat="1" applyFont="1" applyFill="1" applyBorder="1" applyAlignment="1"/>
    <xf numFmtId="168" fontId="11" fillId="9" borderId="6" xfId="0" applyNumberFormat="1" applyFont="1" applyFill="1" applyBorder="1" applyAlignment="1"/>
    <xf numFmtId="168" fontId="21" fillId="9" borderId="6" xfId="0" applyNumberFormat="1" applyFont="1" applyFill="1" applyBorder="1" applyAlignment="1"/>
    <xf numFmtId="0" fontId="11" fillId="9" borderId="26" xfId="0" applyFont="1" applyFill="1" applyBorder="1" applyAlignment="1"/>
    <xf numFmtId="0" fontId="11" fillId="9" borderId="20" xfId="0" applyFont="1" applyFill="1" applyBorder="1" applyAlignment="1">
      <alignment wrapText="1"/>
    </xf>
    <xf numFmtId="49" fontId="11" fillId="9" borderId="6" xfId="0" applyNumberFormat="1" applyFont="1" applyFill="1" applyBorder="1" applyAlignment="1">
      <alignment horizontal="left" indent="1"/>
    </xf>
    <xf numFmtId="168" fontId="11" fillId="11" borderId="6" xfId="0" applyNumberFormat="1" applyFont="1" applyFill="1" applyBorder="1" applyAlignment="1"/>
    <xf numFmtId="49" fontId="11" fillId="9" borderId="6" xfId="0" applyNumberFormat="1" applyFont="1" applyFill="1" applyBorder="1" applyAlignment="1">
      <alignment wrapText="1"/>
    </xf>
    <xf numFmtId="168" fontId="11" fillId="9" borderId="6" xfId="0" applyNumberFormat="1" applyFont="1" applyFill="1" applyBorder="1" applyAlignment="1">
      <alignment wrapText="1"/>
    </xf>
    <xf numFmtId="168" fontId="11" fillId="9" borderId="8" xfId="0" applyNumberFormat="1" applyFont="1" applyFill="1" applyBorder="1" applyAlignment="1"/>
    <xf numFmtId="168" fontId="21" fillId="9" borderId="8" xfId="0" applyNumberFormat="1" applyFont="1" applyFill="1" applyBorder="1" applyAlignment="1"/>
    <xf numFmtId="49" fontId="11" fillId="9" borderId="11" xfId="0" applyNumberFormat="1" applyFont="1" applyFill="1" applyBorder="1" applyAlignment="1">
      <alignment wrapText="1"/>
    </xf>
    <xf numFmtId="166" fontId="11" fillId="9" borderId="11" xfId="1" applyFont="1" applyFill="1" applyBorder="1" applyAlignment="1">
      <alignment wrapText="1"/>
    </xf>
    <xf numFmtId="49" fontId="11" fillId="9" borderId="6" xfId="0" applyNumberFormat="1" applyFont="1" applyFill="1" applyBorder="1" applyAlignment="1"/>
    <xf numFmtId="168" fontId="11" fillId="11" borderId="6" xfId="0" applyNumberFormat="1" applyFont="1" applyFill="1" applyBorder="1" applyAlignment="1">
      <alignment wrapText="1"/>
    </xf>
    <xf numFmtId="0" fontId="11" fillId="9" borderId="11" xfId="0" applyFont="1" applyFill="1" applyBorder="1" applyAlignment="1">
      <alignment wrapText="1"/>
    </xf>
    <xf numFmtId="168" fontId="11" fillId="11" borderId="6" xfId="0" applyNumberFormat="1" applyFont="1" applyFill="1" applyBorder="1" applyAlignment="1">
      <alignment horizontal="left" wrapText="1"/>
    </xf>
    <xf numFmtId="49" fontId="11" fillId="9" borderId="11" xfId="0" applyNumberFormat="1" applyFont="1" applyFill="1" applyBorder="1" applyAlignment="1"/>
    <xf numFmtId="49" fontId="11" fillId="9" borderId="6" xfId="0" applyNumberFormat="1" applyFont="1" applyFill="1" applyBorder="1" applyAlignment="1">
      <alignment horizontal="left" wrapText="1" indent="1"/>
    </xf>
    <xf numFmtId="168" fontId="11" fillId="9" borderId="8" xfId="0" applyNumberFormat="1" applyFont="1" applyFill="1" applyBorder="1" applyAlignment="1">
      <alignment wrapText="1"/>
    </xf>
    <xf numFmtId="49" fontId="21" fillId="9" borderId="6" xfId="0" applyNumberFormat="1" applyFont="1" applyFill="1" applyBorder="1" applyAlignment="1">
      <alignment horizontal="right"/>
    </xf>
    <xf numFmtId="0" fontId="22" fillId="5" borderId="5" xfId="0" applyFont="1" applyFill="1" applyBorder="1" applyAlignment="1"/>
    <xf numFmtId="49" fontId="22" fillId="5" borderId="6" xfId="0" applyNumberFormat="1" applyFont="1" applyFill="1" applyBorder="1" applyAlignment="1">
      <alignment horizontal="right"/>
    </xf>
    <xf numFmtId="168" fontId="22" fillId="7" borderId="6" xfId="0" applyNumberFormat="1" applyFont="1" applyFill="1" applyBorder="1" applyAlignment="1"/>
    <xf numFmtId="168" fontId="22" fillId="5" borderId="6" xfId="0" applyNumberFormat="1" applyFont="1" applyFill="1" applyBorder="1" applyAlignment="1"/>
    <xf numFmtId="168" fontId="22" fillId="5" borderId="8" xfId="0" applyNumberFormat="1" applyFont="1" applyFill="1" applyBorder="1" applyAlignment="1"/>
    <xf numFmtId="0" fontId="22" fillId="0" borderId="11" xfId="0" applyFont="1" applyBorder="1" applyAlignment="1"/>
    <xf numFmtId="166" fontId="22" fillId="0" borderId="11" xfId="1" applyFont="1" applyBorder="1" applyAlignment="1"/>
    <xf numFmtId="0" fontId="22" fillId="0" borderId="0" xfId="0" applyFont="1" applyAlignment="1"/>
    <xf numFmtId="49" fontId="22" fillId="5" borderId="6" xfId="0" applyNumberFormat="1" applyFont="1" applyFill="1" applyBorder="1" applyAlignment="1">
      <alignment horizontal="right" wrapText="1"/>
    </xf>
    <xf numFmtId="49" fontId="22" fillId="5" borderId="6" xfId="0" applyNumberFormat="1" applyFont="1" applyFill="1" applyBorder="1" applyAlignment="1">
      <alignment horizontal="left" indent="1"/>
    </xf>
    <xf numFmtId="49" fontId="22" fillId="5" borderId="6" xfId="0" applyNumberFormat="1" applyFont="1" applyFill="1" applyBorder="1" applyAlignment="1">
      <alignment horizontal="right" wrapText="1" indent="1"/>
    </xf>
    <xf numFmtId="49" fontId="11" fillId="0" borderId="11" xfId="0" applyNumberFormat="1" applyFont="1" applyBorder="1" applyAlignment="1"/>
    <xf numFmtId="166" fontId="21" fillId="5" borderId="9" xfId="1" applyFont="1" applyFill="1" applyBorder="1" applyAlignment="1">
      <alignment horizontal="center" wrapText="1"/>
    </xf>
    <xf numFmtId="49" fontId="21" fillId="5" borderId="4" xfId="0" applyNumberFormat="1" applyFont="1" applyFill="1" applyBorder="1" applyAlignment="1">
      <alignment horizontal="center"/>
    </xf>
    <xf numFmtId="168" fontId="11" fillId="6" borderId="31" xfId="0" applyNumberFormat="1" applyFont="1" applyFill="1" applyBorder="1" applyAlignment="1">
      <alignment vertical="center"/>
    </xf>
    <xf numFmtId="168" fontId="11" fillId="0" borderId="13" xfId="0" applyNumberFormat="1" applyFont="1" applyFill="1" applyBorder="1" applyAlignment="1"/>
    <xf numFmtId="168" fontId="21" fillId="5" borderId="31" xfId="0" applyNumberFormat="1" applyFont="1" applyFill="1" applyBorder="1" applyAlignment="1">
      <alignment vertical="center"/>
    </xf>
    <xf numFmtId="166" fontId="11" fillId="6" borderId="32" xfId="1" applyFont="1" applyFill="1" applyBorder="1" applyAlignment="1">
      <alignment vertical="center"/>
    </xf>
    <xf numFmtId="166" fontId="11" fillId="2" borderId="8" xfId="0" applyNumberFormat="1" applyFont="1" applyFill="1" applyBorder="1" applyAlignment="1"/>
    <xf numFmtId="166" fontId="11" fillId="4" borderId="8" xfId="0" applyNumberFormat="1" applyFont="1" applyFill="1" applyBorder="1" applyAlignment="1"/>
    <xf numFmtId="166" fontId="11" fillId="3" borderId="8" xfId="0" applyNumberFormat="1" applyFont="1" applyFill="1" applyBorder="1" applyAlignment="1"/>
    <xf numFmtId="168" fontId="21" fillId="5" borderId="32" xfId="0" applyNumberFormat="1" applyFont="1" applyFill="1" applyBorder="1" applyAlignment="1">
      <alignment vertical="center"/>
    </xf>
    <xf numFmtId="166" fontId="21" fillId="15" borderId="9" xfId="1" applyFont="1" applyFill="1" applyBorder="1" applyAlignment="1">
      <alignment horizontal="center" wrapText="1"/>
    </xf>
    <xf numFmtId="166" fontId="11" fillId="15" borderId="11" xfId="1" applyFont="1" applyFill="1" applyBorder="1" applyAlignment="1"/>
    <xf numFmtId="166" fontId="22" fillId="0" borderId="11" xfId="1" applyFont="1" applyFill="1" applyBorder="1" applyAlignment="1"/>
    <xf numFmtId="168" fontId="22" fillId="0" borderId="6" xfId="0" applyNumberFormat="1" applyFont="1" applyFill="1" applyBorder="1" applyAlignment="1"/>
    <xf numFmtId="168" fontId="22" fillId="0" borderId="0" xfId="0" applyNumberFormat="1" applyFont="1" applyFill="1" applyBorder="1" applyAlignment="1"/>
    <xf numFmtId="166" fontId="11" fillId="16" borderId="11" xfId="1" applyFont="1" applyFill="1" applyBorder="1" applyAlignment="1"/>
    <xf numFmtId="166" fontId="21" fillId="16" borderId="11" xfId="1" applyFont="1" applyFill="1" applyBorder="1" applyAlignment="1"/>
    <xf numFmtId="166" fontId="11" fillId="17" borderId="11" xfId="1" applyFont="1" applyFill="1" applyBorder="1" applyAlignment="1"/>
    <xf numFmtId="166" fontId="11" fillId="18" borderId="11" xfId="1" applyFont="1" applyFill="1" applyBorder="1" applyAlignment="1"/>
    <xf numFmtId="166" fontId="11" fillId="17" borderId="0" xfId="1" applyFont="1" applyFill="1" applyBorder="1" applyAlignment="1"/>
    <xf numFmtId="166" fontId="21" fillId="17" borderId="11" xfId="1" applyFont="1" applyFill="1" applyBorder="1" applyAlignment="1"/>
    <xf numFmtId="166" fontId="11" fillId="0" borderId="18" xfId="1" applyFont="1" applyFill="1" applyBorder="1" applyAlignment="1"/>
    <xf numFmtId="166" fontId="22" fillId="0" borderId="33" xfId="1" applyFont="1" applyFill="1" applyBorder="1" applyAlignment="1">
      <alignment vertical="center"/>
    </xf>
    <xf numFmtId="166" fontId="11" fillId="0" borderId="29" xfId="1" applyFont="1" applyFill="1" applyBorder="1" applyAlignment="1"/>
    <xf numFmtId="166" fontId="11" fillId="19" borderId="11" xfId="1" applyFont="1" applyFill="1" applyBorder="1" applyAlignment="1"/>
    <xf numFmtId="166" fontId="11" fillId="20" borderId="11" xfId="1" applyFont="1" applyFill="1" applyBorder="1" applyAlignment="1"/>
    <xf numFmtId="166" fontId="21" fillId="19" borderId="11" xfId="1" applyFont="1" applyFill="1" applyBorder="1" applyAlignment="1"/>
    <xf numFmtId="166" fontId="21" fillId="21" borderId="11" xfId="1" applyFont="1" applyFill="1" applyBorder="1" applyAlignment="1"/>
    <xf numFmtId="168" fontId="11" fillId="21" borderId="11" xfId="0" applyNumberFormat="1" applyFont="1" applyFill="1" applyBorder="1" applyAlignment="1"/>
    <xf numFmtId="172" fontId="11" fillId="21" borderId="11" xfId="0" applyNumberFormat="1" applyFont="1" applyFill="1" applyBorder="1" applyAlignment="1"/>
    <xf numFmtId="166" fontId="11" fillId="21" borderId="11" xfId="1" applyFont="1" applyFill="1" applyBorder="1" applyAlignment="1"/>
    <xf numFmtId="168" fontId="21" fillId="21" borderId="11" xfId="0" applyNumberFormat="1" applyFont="1" applyFill="1" applyBorder="1" applyAlignment="1"/>
    <xf numFmtId="166" fontId="11" fillId="22" borderId="11" xfId="1" applyFont="1" applyFill="1" applyBorder="1" applyAlignment="1"/>
    <xf numFmtId="166" fontId="21" fillId="22" borderId="11" xfId="1" applyFont="1" applyFill="1" applyBorder="1" applyAlignment="1"/>
    <xf numFmtId="166" fontId="21" fillId="22" borderId="21" xfId="1" applyFont="1" applyFill="1" applyBorder="1" applyAlignment="1"/>
    <xf numFmtId="166" fontId="11" fillId="23" borderId="8" xfId="1" applyFont="1" applyFill="1" applyBorder="1" applyAlignment="1"/>
    <xf numFmtId="0" fontId="11" fillId="24" borderId="11" xfId="0" applyFont="1" applyFill="1" applyBorder="1" applyAlignment="1"/>
    <xf numFmtId="168" fontId="21" fillId="24" borderId="17" xfId="0" applyNumberFormat="1" applyFont="1" applyFill="1" applyBorder="1" applyAlignment="1"/>
    <xf numFmtId="168" fontId="21" fillId="24" borderId="0" xfId="0" applyNumberFormat="1" applyFont="1" applyFill="1" applyBorder="1" applyAlignment="1"/>
    <xf numFmtId="166" fontId="11" fillId="24" borderId="11" xfId="1" applyFont="1" applyFill="1" applyBorder="1" applyAlignment="1"/>
    <xf numFmtId="166" fontId="11" fillId="24" borderId="21" xfId="1" applyFont="1" applyFill="1" applyBorder="1" applyAlignment="1"/>
    <xf numFmtId="166" fontId="11" fillId="24" borderId="28" xfId="1" applyFont="1" applyFill="1" applyBorder="1" applyAlignment="1"/>
    <xf numFmtId="166" fontId="11" fillId="24" borderId="18" xfId="1" applyFont="1" applyFill="1" applyBorder="1" applyAlignment="1"/>
    <xf numFmtId="166" fontId="22" fillId="24" borderId="33" xfId="1" applyFont="1" applyFill="1" applyBorder="1" applyAlignment="1">
      <alignment vertical="center"/>
    </xf>
    <xf numFmtId="49" fontId="21" fillId="0" borderId="10" xfId="0" applyNumberFormat="1" applyFont="1" applyFill="1" applyBorder="1" applyAlignment="1">
      <alignment horizontal="center" wrapText="1"/>
    </xf>
    <xf numFmtId="49" fontId="21" fillId="0" borderId="6" xfId="0" applyNumberFormat="1" applyFont="1" applyFill="1" applyBorder="1" applyAlignment="1">
      <alignment horizontal="right"/>
    </xf>
    <xf numFmtId="168" fontId="21" fillId="6" borderId="31" xfId="0" applyNumberFormat="1" applyFont="1" applyFill="1" applyBorder="1" applyAlignment="1">
      <alignment vertical="center"/>
    </xf>
    <xf numFmtId="166" fontId="11" fillId="9" borderId="6" xfId="0" applyNumberFormat="1" applyFont="1" applyFill="1" applyBorder="1" applyAlignment="1"/>
    <xf numFmtId="166" fontId="21" fillId="9" borderId="6" xfId="0" applyNumberFormat="1" applyFont="1" applyFill="1" applyBorder="1" applyAlignment="1"/>
    <xf numFmtId="166" fontId="21" fillId="0" borderId="6" xfId="0" applyNumberFormat="1" applyFont="1" applyFill="1" applyBorder="1" applyAlignment="1"/>
    <xf numFmtId="49" fontId="11" fillId="4" borderId="6" xfId="0" applyNumberFormat="1" applyFont="1" applyFill="1" applyBorder="1" applyAlignment="1">
      <alignment horizontal="left" wrapText="1" indent="1"/>
    </xf>
    <xf numFmtId="166" fontId="11" fillId="13" borderId="11" xfId="1" applyFont="1" applyFill="1" applyBorder="1" applyAlignment="1">
      <alignment wrapText="1"/>
    </xf>
    <xf numFmtId="0" fontId="25" fillId="0" borderId="0" xfId="0" applyFont="1"/>
    <xf numFmtId="169" fontId="26" fillId="0" borderId="0" xfId="0" applyNumberFormat="1" applyFont="1"/>
    <xf numFmtId="0" fontId="25" fillId="25" borderId="0" xfId="0" applyFont="1" applyFill="1"/>
    <xf numFmtId="0" fontId="26" fillId="25" borderId="0" xfId="0" applyFont="1" applyFill="1"/>
    <xf numFmtId="169" fontId="26" fillId="25" borderId="0" xfId="0" applyNumberFormat="1" applyFont="1" applyFill="1"/>
    <xf numFmtId="0" fontId="26" fillId="0" borderId="0" xfId="0" applyFont="1"/>
    <xf numFmtId="0" fontId="27" fillId="0" borderId="0" xfId="0" applyFont="1"/>
    <xf numFmtId="0" fontId="26" fillId="0" borderId="0" xfId="0" applyFont="1" applyAlignment="1">
      <alignment horizontal="left"/>
    </xf>
    <xf numFmtId="0" fontId="25" fillId="0" borderId="0" xfId="0" applyFont="1" applyAlignment="1">
      <alignment horizontal="right"/>
    </xf>
    <xf numFmtId="169" fontId="25" fillId="0" borderId="0" xfId="0" applyNumberFormat="1" applyFont="1"/>
    <xf numFmtId="49" fontId="28" fillId="0" borderId="11" xfId="0" applyNumberFormat="1" applyFont="1" applyFill="1" applyBorder="1" applyAlignment="1">
      <alignment vertical="center" wrapText="1"/>
    </xf>
    <xf numFmtId="0" fontId="28" fillId="0" borderId="11" xfId="0" applyNumberFormat="1" applyFont="1" applyFill="1" applyBorder="1" applyAlignment="1">
      <alignment vertical="center" wrapText="1"/>
    </xf>
    <xf numFmtId="49" fontId="30" fillId="0" borderId="11" xfId="0" applyNumberFormat="1" applyFont="1" applyFill="1" applyBorder="1" applyAlignment="1">
      <alignment vertical="center"/>
    </xf>
    <xf numFmtId="3" fontId="29" fillId="0" borderId="11" xfId="0" applyNumberFormat="1" applyFont="1" applyFill="1" applyBorder="1" applyAlignment="1">
      <alignment vertical="center" wrapText="1"/>
    </xf>
    <xf numFmtId="3" fontId="29" fillId="0" borderId="11" xfId="0" applyNumberFormat="1" applyFont="1" applyFill="1" applyBorder="1" applyAlignment="1">
      <alignment horizontal="right" vertical="center" wrapText="1"/>
    </xf>
    <xf numFmtId="49" fontId="29" fillId="0" borderId="11" xfId="0" applyNumberFormat="1" applyFont="1" applyFill="1" applyBorder="1" applyAlignment="1">
      <alignment vertical="center" indent="4"/>
    </xf>
    <xf numFmtId="49" fontId="29" fillId="0" borderId="11" xfId="0" applyNumberFormat="1" applyFont="1" applyFill="1" applyBorder="1" applyAlignment="1">
      <alignment vertical="center" wrapText="1" indent="4"/>
    </xf>
    <xf numFmtId="3" fontId="28" fillId="0" borderId="11"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9" fillId="0" borderId="11" xfId="0" applyNumberFormat="1" applyFont="1" applyFill="1" applyBorder="1" applyAlignment="1">
      <alignment vertical="center" wrapText="1"/>
    </xf>
    <xf numFmtId="49" fontId="29" fillId="0" borderId="11" xfId="0" applyNumberFormat="1" applyFont="1" applyFill="1" applyBorder="1" applyAlignment="1">
      <alignment horizontal="left" vertical="center" wrapText="1" indent="4"/>
    </xf>
    <xf numFmtId="1" fontId="29" fillId="0" borderId="11" xfId="0" applyNumberFormat="1" applyFont="1" applyFill="1" applyBorder="1" applyAlignment="1">
      <alignment horizontal="right" vertical="center" wrapText="1"/>
    </xf>
    <xf numFmtId="0" fontId="30" fillId="0" borderId="11" xfId="0" applyFont="1" applyFill="1" applyBorder="1" applyAlignment="1">
      <alignment vertical="center" wrapText="1"/>
    </xf>
    <xf numFmtId="49" fontId="30" fillId="0" borderId="11" xfId="0" applyNumberFormat="1" applyFont="1" applyFill="1" applyBorder="1" applyAlignment="1">
      <alignment vertical="center" wrapText="1"/>
    </xf>
    <xf numFmtId="0" fontId="28" fillId="0" borderId="11" xfId="0" applyFont="1" applyFill="1" applyBorder="1" applyAlignment="1">
      <alignment horizontal="right" vertical="center" wrapText="1"/>
    </xf>
    <xf numFmtId="49" fontId="28" fillId="26" borderId="11" xfId="0" applyNumberFormat="1" applyFont="1" applyFill="1" applyBorder="1" applyAlignment="1">
      <alignment horizontal="right" vertical="center" wrapText="1"/>
    </xf>
    <xf numFmtId="3" fontId="28" fillId="26" borderId="11" xfId="0" applyNumberFormat="1" applyFont="1" applyFill="1" applyBorder="1" applyAlignment="1">
      <alignment vertical="center" wrapText="1"/>
    </xf>
    <xf numFmtId="3" fontId="28" fillId="26" borderId="11" xfId="0" applyNumberFormat="1" applyFont="1" applyFill="1" applyBorder="1" applyAlignment="1">
      <alignment horizontal="right" vertical="center" wrapText="1"/>
    </xf>
    <xf numFmtId="49" fontId="28" fillId="24" borderId="11" xfId="0" applyNumberFormat="1" applyFont="1" applyFill="1" applyBorder="1" applyAlignment="1">
      <alignment horizontal="right" vertical="center" wrapText="1"/>
    </xf>
    <xf numFmtId="3" fontId="28" fillId="24" borderId="11" xfId="0" applyNumberFormat="1" applyFont="1" applyFill="1" applyBorder="1" applyAlignment="1">
      <alignment vertical="center" wrapText="1"/>
    </xf>
    <xf numFmtId="0" fontId="29" fillId="24" borderId="11" xfId="0" applyFont="1" applyFill="1" applyBorder="1" applyAlignment="1">
      <alignment vertical="center" wrapText="1"/>
    </xf>
    <xf numFmtId="0" fontId="0" fillId="0" borderId="0" xfId="0" applyNumberFormat="1" applyFill="1" applyAlignment="1">
      <alignment vertical="top" wrapText="1"/>
    </xf>
    <xf numFmtId="1" fontId="28" fillId="0" borderId="11" xfId="0" applyNumberFormat="1" applyFont="1" applyFill="1" applyBorder="1" applyAlignment="1">
      <alignment horizontal="right" vertical="center" wrapText="1"/>
    </xf>
    <xf numFmtId="49" fontId="28" fillId="0" borderId="11" xfId="0" applyNumberFormat="1" applyFont="1" applyFill="1" applyBorder="1" applyAlignment="1">
      <alignment horizontal="center" vertical="center" wrapText="1"/>
    </xf>
    <xf numFmtId="49" fontId="28" fillId="24" borderId="11" xfId="0" applyNumberFormat="1" applyFont="1" applyFill="1" applyBorder="1" applyAlignment="1">
      <alignment vertical="center" wrapText="1"/>
    </xf>
    <xf numFmtId="0" fontId="28" fillId="24" borderId="11" xfId="0" applyNumberFormat="1" applyFont="1" applyFill="1" applyBorder="1" applyAlignment="1">
      <alignment vertical="center" wrapText="1"/>
    </xf>
    <xf numFmtId="0" fontId="29" fillId="24" borderId="11" xfId="0" applyNumberFormat="1" applyFont="1" applyFill="1" applyBorder="1" applyAlignment="1">
      <alignment vertical="center" wrapText="1"/>
    </xf>
    <xf numFmtId="49" fontId="29" fillId="0" borderId="11" xfId="0" applyNumberFormat="1" applyFont="1" applyFill="1" applyBorder="1" applyAlignment="1">
      <alignment vertical="center"/>
    </xf>
    <xf numFmtId="173" fontId="29" fillId="0" borderId="11" xfId="0" applyNumberFormat="1" applyFont="1" applyFill="1" applyBorder="1" applyAlignment="1">
      <alignment vertical="center" wrapText="1"/>
    </xf>
    <xf numFmtId="173" fontId="29" fillId="0" borderId="11" xfId="0" applyNumberFormat="1" applyFont="1" applyFill="1" applyBorder="1" applyAlignment="1">
      <alignment horizontal="right" vertical="center" wrapText="1"/>
    </xf>
    <xf numFmtId="173" fontId="28" fillId="26" borderId="11" xfId="0" applyNumberFormat="1" applyFont="1" applyFill="1" applyBorder="1" applyAlignment="1">
      <alignment vertical="center" wrapText="1"/>
    </xf>
    <xf numFmtId="173" fontId="28" fillId="26" borderId="11" xfId="0" applyNumberFormat="1" applyFont="1" applyFill="1" applyBorder="1" applyAlignment="1">
      <alignment horizontal="right" vertical="center" wrapText="1"/>
    </xf>
    <xf numFmtId="0" fontId="31" fillId="0" borderId="11" xfId="0" applyFont="1" applyFill="1" applyBorder="1" applyAlignment="1">
      <alignment vertical="center" wrapText="1"/>
    </xf>
    <xf numFmtId="49" fontId="28" fillId="27" borderId="11" xfId="0" applyNumberFormat="1" applyFont="1" applyFill="1" applyBorder="1" applyAlignment="1">
      <alignment horizontal="right" vertical="center" wrapText="1"/>
    </xf>
    <xf numFmtId="3" fontId="28" fillId="27" borderId="11" xfId="0" applyNumberFormat="1" applyFont="1" applyFill="1" applyBorder="1" applyAlignment="1">
      <alignment vertical="center" wrapText="1"/>
    </xf>
    <xf numFmtId="0" fontId="29" fillId="27" borderId="11" xfId="0" applyFont="1" applyFill="1" applyBorder="1" applyAlignment="1">
      <alignment vertical="center" wrapText="1"/>
    </xf>
    <xf numFmtId="49" fontId="11" fillId="10" borderId="11" xfId="0" applyNumberFormat="1" applyFont="1" applyFill="1" applyBorder="1" applyAlignment="1">
      <alignment wrapText="1"/>
    </xf>
    <xf numFmtId="0" fontId="11" fillId="10" borderId="11" xfId="0" applyFont="1" applyFill="1" applyBorder="1" applyAlignment="1">
      <alignment wrapText="1"/>
    </xf>
    <xf numFmtId="49" fontId="11" fillId="3" borderId="11" xfId="0" applyNumberFormat="1" applyFont="1" applyFill="1" applyBorder="1" applyAlignment="1">
      <alignment wrapText="1"/>
    </xf>
    <xf numFmtId="49" fontId="32" fillId="5" borderId="1" xfId="0" applyNumberFormat="1" applyFont="1" applyFill="1" applyBorder="1" applyAlignment="1">
      <alignment horizontal="center" wrapText="1"/>
    </xf>
    <xf numFmtId="166" fontId="11" fillId="22" borderId="21" xfId="1" applyFont="1" applyFill="1" applyBorder="1" applyAlignment="1"/>
    <xf numFmtId="166" fontId="11" fillId="14" borderId="11" xfId="1" applyFont="1" applyFill="1" applyBorder="1" applyAlignment="1"/>
    <xf numFmtId="0" fontId="29" fillId="0" borderId="11" xfId="0" applyFont="1" applyFill="1" applyBorder="1" applyAlignment="1">
      <alignment vertical="center" wrapText="1"/>
    </xf>
    <xf numFmtId="0" fontId="0" fillId="0" borderId="11" xfId="0" applyFill="1" applyBorder="1" applyAlignment="1">
      <alignment vertical="top" wrapText="1"/>
    </xf>
    <xf numFmtId="49" fontId="28" fillId="0" borderId="11" xfId="0" applyNumberFormat="1" applyFont="1" applyFill="1" applyBorder="1" applyAlignment="1">
      <alignment horizontal="right" vertical="center" wrapText="1"/>
    </xf>
    <xf numFmtId="49" fontId="31" fillId="0" borderId="11" xfId="0" applyNumberFormat="1" applyFont="1" applyFill="1" applyBorder="1" applyAlignment="1">
      <alignment vertical="center" wrapText="1"/>
    </xf>
    <xf numFmtId="0" fontId="0" fillId="0" borderId="11" xfId="0" applyNumberFormat="1" applyFill="1" applyBorder="1" applyAlignment="1">
      <alignment vertical="top" wrapText="1"/>
    </xf>
    <xf numFmtId="49" fontId="28" fillId="28" borderId="11" xfId="0" applyNumberFormat="1" applyFont="1" applyFill="1" applyBorder="1" applyAlignment="1">
      <alignment horizontal="left" vertical="center" wrapText="1"/>
    </xf>
    <xf numFmtId="49" fontId="28" fillId="28" borderId="11" xfId="0" applyNumberFormat="1" applyFont="1" applyFill="1" applyBorder="1" applyAlignment="1">
      <alignment horizontal="center" vertical="center" wrapText="1"/>
    </xf>
    <xf numFmtId="49" fontId="28" fillId="28" borderId="11" xfId="0" applyNumberFormat="1" applyFont="1" applyFill="1" applyBorder="1" applyAlignment="1">
      <alignment vertical="center" wrapText="1"/>
    </xf>
    <xf numFmtId="166" fontId="11" fillId="26" borderId="11" xfId="1" applyFont="1" applyFill="1" applyBorder="1" applyAlignment="1"/>
    <xf numFmtId="166" fontId="11" fillId="26" borderId="11" xfId="1" applyFont="1" applyFill="1" applyBorder="1" applyAlignment="1">
      <alignment wrapText="1"/>
    </xf>
    <xf numFmtId="0" fontId="11" fillId="26" borderId="11" xfId="0" applyFont="1" applyFill="1" applyBorder="1" applyAlignment="1">
      <alignment wrapText="1"/>
    </xf>
    <xf numFmtId="0" fontId="33" fillId="0" borderId="0" xfId="0" applyFont="1"/>
    <xf numFmtId="0" fontId="34" fillId="0" borderId="0" xfId="0" applyFont="1"/>
    <xf numFmtId="0" fontId="34" fillId="0" borderId="0" xfId="0" applyFont="1" applyAlignment="1">
      <alignment horizontal="center" vertical="center"/>
    </xf>
    <xf numFmtId="0" fontId="0" fillId="0" borderId="34" xfId="0" applyBorder="1"/>
    <xf numFmtId="164" fontId="0" fillId="0" borderId="0" xfId="0" applyNumberFormat="1"/>
    <xf numFmtId="165" fontId="0" fillId="0" borderId="0" xfId="0" applyNumberFormat="1"/>
    <xf numFmtId="171" fontId="21" fillId="15" borderId="11" xfId="1" applyNumberFormat="1" applyFont="1" applyFill="1" applyBorder="1" applyAlignment="1"/>
    <xf numFmtId="171" fontId="21" fillId="24" borderId="0" xfId="0" applyNumberFormat="1" applyFont="1" applyFill="1" applyBorder="1" applyAlignment="1"/>
    <xf numFmtId="171" fontId="11" fillId="15" borderId="11" xfId="1" applyNumberFormat="1" applyFont="1" applyFill="1" applyBorder="1" applyAlignment="1"/>
    <xf numFmtId="171" fontId="11" fillId="24" borderId="11" xfId="1" applyNumberFormat="1" applyFont="1" applyFill="1" applyBorder="1" applyAlignment="1"/>
    <xf numFmtId="171" fontId="11" fillId="24" borderId="21" xfId="1" applyNumberFormat="1" applyFont="1" applyFill="1" applyBorder="1" applyAlignment="1"/>
    <xf numFmtId="171" fontId="11" fillId="24" borderId="28" xfId="1" applyNumberFormat="1" applyFont="1" applyFill="1" applyBorder="1" applyAlignment="1"/>
    <xf numFmtId="171" fontId="11" fillId="24" borderId="18" xfId="1" applyNumberFormat="1" applyFont="1" applyFill="1" applyBorder="1" applyAlignment="1"/>
    <xf numFmtId="171" fontId="22" fillId="15" borderId="33" xfId="1" applyNumberFormat="1" applyFont="1" applyFill="1" applyBorder="1" applyAlignment="1">
      <alignment vertical="center"/>
    </xf>
    <xf numFmtId="171" fontId="22" fillId="24" borderId="33" xfId="1" applyNumberFormat="1" applyFont="1" applyFill="1" applyBorder="1" applyAlignment="1">
      <alignment vertical="center"/>
    </xf>
    <xf numFmtId="171" fontId="11" fillId="0" borderId="29" xfId="1" applyNumberFormat="1" applyFont="1" applyFill="1" applyBorder="1" applyAlignment="1"/>
    <xf numFmtId="171" fontId="11" fillId="0" borderId="11" xfId="1" applyNumberFormat="1" applyFont="1" applyFill="1" applyBorder="1" applyAlignment="1"/>
    <xf numFmtId="171" fontId="11" fillId="22" borderId="11" xfId="1" applyNumberFormat="1" applyFont="1" applyFill="1" applyBorder="1" applyAlignment="1"/>
    <xf numFmtId="171" fontId="11" fillId="22" borderId="21" xfId="1" applyNumberFormat="1" applyFont="1" applyFill="1" applyBorder="1" applyAlignment="1"/>
    <xf numFmtId="171" fontId="21" fillId="22" borderId="11" xfId="1" applyNumberFormat="1" applyFont="1" applyFill="1" applyBorder="1" applyAlignment="1"/>
    <xf numFmtId="171" fontId="11" fillId="16" borderId="11" xfId="1" applyNumberFormat="1" applyFont="1" applyFill="1" applyBorder="1" applyAlignment="1"/>
    <xf numFmtId="171" fontId="21" fillId="16" borderId="11" xfId="1" applyNumberFormat="1" applyFont="1" applyFill="1" applyBorder="1" applyAlignment="1"/>
    <xf numFmtId="171" fontId="21" fillId="0" borderId="11" xfId="1" applyNumberFormat="1" applyFont="1" applyFill="1" applyBorder="1" applyAlignment="1"/>
    <xf numFmtId="171" fontId="21" fillId="21" borderId="11" xfId="1" applyNumberFormat="1" applyFont="1" applyFill="1" applyBorder="1" applyAlignment="1"/>
    <xf numFmtId="171" fontId="11" fillId="21" borderId="11" xfId="0" applyNumberFormat="1" applyFont="1" applyFill="1" applyBorder="1" applyAlignment="1"/>
    <xf numFmtId="171" fontId="11" fillId="15" borderId="11" xfId="0" applyNumberFormat="1" applyFont="1" applyFill="1" applyBorder="1" applyAlignment="1"/>
    <xf numFmtId="171" fontId="11" fillId="21" borderId="11" xfId="1" applyNumberFormat="1" applyFont="1" applyFill="1" applyBorder="1" applyAlignment="1"/>
    <xf numFmtId="171" fontId="21" fillId="21" borderId="11" xfId="0" applyNumberFormat="1" applyFont="1" applyFill="1" applyBorder="1" applyAlignment="1"/>
    <xf numFmtId="171" fontId="11" fillId="19" borderId="11" xfId="1" applyNumberFormat="1" applyFont="1" applyFill="1" applyBorder="1" applyAlignment="1"/>
    <xf numFmtId="171" fontId="21" fillId="19" borderId="11" xfId="1" applyNumberFormat="1" applyFont="1" applyFill="1" applyBorder="1" applyAlignment="1"/>
    <xf numFmtId="171" fontId="11" fillId="17" borderId="11" xfId="1" applyNumberFormat="1" applyFont="1" applyFill="1" applyBorder="1" applyAlignment="1"/>
    <xf numFmtId="171" fontId="11" fillId="17" borderId="0" xfId="1" applyNumberFormat="1" applyFont="1" applyFill="1" applyBorder="1" applyAlignment="1"/>
    <xf numFmtId="171" fontId="11" fillId="18" borderId="11" xfId="1" applyNumberFormat="1" applyFont="1" applyFill="1" applyBorder="1" applyAlignment="1"/>
    <xf numFmtId="171" fontId="21" fillId="17" borderId="11" xfId="1" applyNumberFormat="1" applyFont="1" applyFill="1" applyBorder="1" applyAlignment="1"/>
    <xf numFmtId="171" fontId="11" fillId="0" borderId="18" xfId="1" applyNumberFormat="1" applyFont="1" applyFill="1" applyBorder="1" applyAlignment="1"/>
    <xf numFmtId="171" fontId="22" fillId="0" borderId="33" xfId="1" applyNumberFormat="1" applyFont="1" applyFill="1" applyBorder="1" applyAlignment="1">
      <alignment vertical="center"/>
    </xf>
    <xf numFmtId="171" fontId="11" fillId="15" borderId="20" xfId="0" applyNumberFormat="1" applyFont="1" applyFill="1" applyBorder="1" applyAlignment="1">
      <alignment wrapText="1"/>
    </xf>
    <xf numFmtId="171" fontId="22" fillId="15" borderId="11" xfId="1" applyNumberFormat="1" applyFont="1" applyFill="1" applyBorder="1" applyAlignment="1"/>
    <xf numFmtId="171" fontId="22" fillId="0" borderId="11" xfId="1" applyNumberFormat="1" applyFont="1" applyFill="1" applyBorder="1" applyAlignment="1"/>
    <xf numFmtId="171" fontId="22" fillId="0" borderId="0" xfId="0" applyNumberFormat="1" applyFont="1" applyFill="1" applyBorder="1" applyAlignment="1"/>
    <xf numFmtId="49" fontId="28" fillId="29" borderId="35" xfId="0" applyNumberFormat="1" applyFont="1" applyFill="1" applyBorder="1" applyAlignment="1">
      <alignment vertical="center"/>
    </xf>
    <xf numFmtId="0" fontId="28" fillId="29" borderId="35" xfId="0" applyFont="1" applyFill="1" applyBorder="1" applyAlignment="1">
      <alignment vertical="center" wrapText="1"/>
    </xf>
    <xf numFmtId="1" fontId="28" fillId="29" borderId="35" xfId="0" applyNumberFormat="1" applyFont="1" applyFill="1" applyBorder="1" applyAlignment="1">
      <alignment horizontal="right" vertical="center" wrapText="1"/>
    </xf>
    <xf numFmtId="0" fontId="29" fillId="29" borderId="35" xfId="0" applyFont="1" applyFill="1" applyBorder="1" applyAlignment="1">
      <alignment vertical="center" wrapText="1"/>
    </xf>
    <xf numFmtId="0" fontId="0" fillId="0" borderId="0" xfId="0" applyNumberFormat="1" applyAlignment="1">
      <alignment vertical="top" wrapText="1"/>
    </xf>
    <xf numFmtId="49" fontId="29" fillId="29" borderId="35" xfId="0" applyNumberFormat="1" applyFont="1" applyFill="1" applyBorder="1" applyAlignment="1">
      <alignment vertical="center"/>
    </xf>
    <xf numFmtId="49" fontId="28" fillId="30" borderId="35" xfId="0" applyNumberFormat="1" applyFont="1" applyFill="1" applyBorder="1" applyAlignment="1">
      <alignment vertical="center"/>
    </xf>
    <xf numFmtId="0" fontId="28" fillId="30" borderId="35" xfId="0" applyFont="1" applyFill="1" applyBorder="1" applyAlignment="1">
      <alignment vertical="center" wrapText="1"/>
    </xf>
    <xf numFmtId="49" fontId="28" fillId="30" borderId="35" xfId="0" applyNumberFormat="1" applyFont="1" applyFill="1" applyBorder="1" applyAlignment="1">
      <alignment vertical="center" wrapText="1"/>
    </xf>
    <xf numFmtId="3" fontId="29" fillId="30" borderId="35" xfId="0" applyNumberFormat="1" applyFont="1" applyFill="1" applyBorder="1" applyAlignment="1">
      <alignment vertical="center" wrapText="1"/>
    </xf>
    <xf numFmtId="1" fontId="29" fillId="29" borderId="35" xfId="0" applyNumberFormat="1" applyFont="1" applyFill="1" applyBorder="1" applyAlignment="1">
      <alignment horizontal="right" vertical="center" wrapText="1"/>
    </xf>
    <xf numFmtId="49" fontId="29" fillId="29" borderId="35" xfId="0" applyNumberFormat="1" applyFont="1" applyFill="1" applyBorder="1" applyAlignment="1">
      <alignment vertical="center" wrapText="1"/>
    </xf>
    <xf numFmtId="3" fontId="28" fillId="30" borderId="35" xfId="0" applyNumberFormat="1" applyFont="1" applyFill="1" applyBorder="1" applyAlignment="1">
      <alignment vertical="center" wrapText="1"/>
    </xf>
    <xf numFmtId="3" fontId="28" fillId="29" borderId="35" xfId="0" applyNumberFormat="1" applyFont="1" applyFill="1" applyBorder="1" applyAlignment="1">
      <alignment vertical="center" wrapText="1"/>
    </xf>
    <xf numFmtId="0" fontId="29" fillId="30" borderId="35" xfId="0" applyFont="1" applyFill="1" applyBorder="1" applyAlignment="1">
      <alignment vertical="center" wrapText="1"/>
    </xf>
    <xf numFmtId="49" fontId="28" fillId="31" borderId="35" xfId="0" applyNumberFormat="1" applyFont="1" applyFill="1" applyBorder="1" applyAlignment="1">
      <alignment horizontal="left" vertical="center"/>
    </xf>
    <xf numFmtId="49" fontId="28" fillId="31" borderId="36" xfId="0" applyNumberFormat="1" applyFont="1" applyFill="1" applyBorder="1" applyAlignment="1">
      <alignment horizontal="center" vertical="center" wrapText="1"/>
    </xf>
    <xf numFmtId="49" fontId="28" fillId="31" borderId="37" xfId="0" applyNumberFormat="1" applyFont="1" applyFill="1" applyBorder="1" applyAlignment="1">
      <alignment horizontal="center" vertical="center" wrapText="1"/>
    </xf>
    <xf numFmtId="49" fontId="28" fillId="31" borderId="35" xfId="0" applyNumberFormat="1" applyFont="1" applyFill="1" applyBorder="1" applyAlignment="1">
      <alignment horizontal="center" vertical="center" wrapText="1"/>
    </xf>
    <xf numFmtId="3" fontId="29" fillId="29" borderId="35" xfId="0" applyNumberFormat="1" applyFont="1" applyFill="1" applyBorder="1" applyAlignment="1">
      <alignment vertical="center" wrapText="1"/>
    </xf>
    <xf numFmtId="3" fontId="29" fillId="29" borderId="35" xfId="0" applyNumberFormat="1" applyFont="1" applyFill="1" applyBorder="1" applyAlignment="1">
      <alignment horizontal="right" vertical="center" wrapText="1"/>
    </xf>
    <xf numFmtId="3" fontId="29" fillId="32" borderId="35" xfId="0" applyNumberFormat="1" applyFont="1" applyFill="1" applyBorder="1" applyAlignment="1">
      <alignment horizontal="right" vertical="center" wrapText="1"/>
    </xf>
    <xf numFmtId="49" fontId="29" fillId="29" borderId="35" xfId="0" applyNumberFormat="1" applyFont="1" applyFill="1" applyBorder="1" applyAlignment="1">
      <alignment vertical="center" indent="3"/>
    </xf>
    <xf numFmtId="173" fontId="29" fillId="29" borderId="35" xfId="0" applyNumberFormat="1" applyFont="1" applyFill="1" applyBorder="1" applyAlignment="1">
      <alignment vertical="center" wrapText="1"/>
    </xf>
    <xf numFmtId="173" fontId="29" fillId="29" borderId="35" xfId="0" applyNumberFormat="1" applyFont="1" applyFill="1" applyBorder="1" applyAlignment="1">
      <alignment horizontal="right" vertical="center" wrapText="1"/>
    </xf>
    <xf numFmtId="49" fontId="28" fillId="33" borderId="35" xfId="0" applyNumberFormat="1" applyFont="1" applyFill="1" applyBorder="1" applyAlignment="1">
      <alignment horizontal="right" vertical="center"/>
    </xf>
    <xf numFmtId="3" fontId="28" fillId="33" borderId="35" xfId="0" applyNumberFormat="1" applyFont="1" applyFill="1" applyBorder="1" applyAlignment="1">
      <alignment vertical="center" wrapText="1"/>
    </xf>
    <xf numFmtId="173" fontId="28" fillId="33" borderId="35" xfId="0" applyNumberFormat="1" applyFont="1" applyFill="1" applyBorder="1" applyAlignment="1">
      <alignment vertical="center" wrapText="1"/>
    </xf>
    <xf numFmtId="3" fontId="28" fillId="33" borderId="35" xfId="0" applyNumberFormat="1" applyFont="1" applyFill="1" applyBorder="1" applyAlignment="1">
      <alignment horizontal="right" vertical="center" wrapText="1"/>
    </xf>
    <xf numFmtId="173" fontId="28" fillId="33" borderId="35" xfId="0" applyNumberFormat="1" applyFont="1" applyFill="1" applyBorder="1" applyAlignment="1">
      <alignment horizontal="right" vertical="center" wrapText="1"/>
    </xf>
    <xf numFmtId="49" fontId="28" fillId="34" borderId="35" xfId="0" applyNumberFormat="1" applyFont="1" applyFill="1" applyBorder="1" applyAlignment="1">
      <alignment vertical="center"/>
    </xf>
    <xf numFmtId="49" fontId="28" fillId="34" borderId="35" xfId="0" applyNumberFormat="1" applyFont="1" applyFill="1" applyBorder="1" applyAlignment="1">
      <alignment vertical="center" wrapText="1"/>
    </xf>
    <xf numFmtId="49" fontId="28" fillId="34" borderId="35" xfId="0" applyNumberFormat="1" applyFont="1" applyFill="1" applyBorder="1" applyAlignment="1">
      <alignment horizontal="center" vertical="center" wrapText="1"/>
    </xf>
    <xf numFmtId="0" fontId="29" fillId="32" borderId="35" xfId="0" applyFont="1" applyFill="1" applyBorder="1" applyAlignment="1">
      <alignment vertical="center" wrapText="1"/>
    </xf>
    <xf numFmtId="49" fontId="29" fillId="29" borderId="38" xfId="0" applyNumberFormat="1" applyFont="1" applyFill="1" applyBorder="1" applyAlignment="1">
      <alignment horizontal="left" vertical="center" indent="3"/>
    </xf>
    <xf numFmtId="3" fontId="29" fillId="29" borderId="39" xfId="0" applyNumberFormat="1" applyFont="1" applyFill="1" applyBorder="1" applyAlignment="1">
      <alignment vertical="center" wrapText="1"/>
    </xf>
    <xf numFmtId="0" fontId="29" fillId="29" borderId="35" xfId="0" applyNumberFormat="1" applyFont="1" applyFill="1" applyBorder="1" applyAlignment="1">
      <alignment vertical="center" wrapText="1"/>
    </xf>
    <xf numFmtId="49" fontId="29" fillId="29" borderId="40" xfId="0" applyNumberFormat="1" applyFont="1" applyFill="1" applyBorder="1" applyAlignment="1">
      <alignment horizontal="left" vertical="center" indent="3"/>
    </xf>
    <xf numFmtId="1" fontId="29" fillId="29" borderId="40" xfId="0" applyNumberFormat="1" applyFont="1" applyFill="1" applyBorder="1" applyAlignment="1">
      <alignment horizontal="right" vertical="center" wrapText="1"/>
    </xf>
    <xf numFmtId="0" fontId="29" fillId="29" borderId="41" xfId="0" applyNumberFormat="1" applyFont="1" applyFill="1" applyBorder="1" applyAlignment="1">
      <alignment vertical="center" wrapText="1"/>
    </xf>
    <xf numFmtId="1" fontId="29" fillId="29" borderId="42" xfId="0" applyNumberFormat="1" applyFont="1" applyFill="1" applyBorder="1" applyAlignment="1">
      <alignment horizontal="right" vertical="center" wrapText="1"/>
    </xf>
    <xf numFmtId="49" fontId="29" fillId="29" borderId="43" xfId="0" applyNumberFormat="1" applyFont="1" applyFill="1" applyBorder="1" applyAlignment="1">
      <alignment vertical="center" indent="3"/>
    </xf>
    <xf numFmtId="3" fontId="29" fillId="29" borderId="43" xfId="0" applyNumberFormat="1" applyFont="1" applyFill="1" applyBorder="1" applyAlignment="1">
      <alignment vertical="center" wrapText="1"/>
    </xf>
    <xf numFmtId="49" fontId="28" fillId="32" borderId="35" xfId="0" applyNumberFormat="1" applyFont="1" applyFill="1" applyBorder="1" applyAlignment="1">
      <alignment horizontal="right" vertical="center"/>
    </xf>
    <xf numFmtId="3" fontId="28" fillId="32" borderId="35" xfId="0" applyNumberFormat="1" applyFont="1" applyFill="1" applyBorder="1" applyAlignment="1">
      <alignment vertical="center" wrapText="1"/>
    </xf>
    <xf numFmtId="0" fontId="29" fillId="29" borderId="35" xfId="0" applyFont="1" applyFill="1" applyBorder="1" applyAlignment="1">
      <alignment vertical="center"/>
    </xf>
    <xf numFmtId="49" fontId="29" fillId="29" borderId="39" xfId="0" applyNumberFormat="1" applyFont="1" applyFill="1" applyBorder="1" applyAlignment="1">
      <alignment vertical="center"/>
    </xf>
    <xf numFmtId="1" fontId="29" fillId="29" borderId="39" xfId="0" applyNumberFormat="1" applyFont="1" applyFill="1" applyBorder="1" applyAlignment="1">
      <alignment horizontal="right" vertical="center" wrapText="1"/>
    </xf>
    <xf numFmtId="49" fontId="29" fillId="32" borderId="35" xfId="0" applyNumberFormat="1" applyFont="1" applyFill="1" applyBorder="1" applyAlignment="1">
      <alignment vertical="center" wrapText="1"/>
    </xf>
    <xf numFmtId="0" fontId="31" fillId="32" borderId="35" xfId="0" applyFont="1" applyFill="1" applyBorder="1" applyAlignment="1">
      <alignment vertical="center" wrapText="1"/>
    </xf>
    <xf numFmtId="0" fontId="29" fillId="29" borderId="41" xfId="0" applyFont="1" applyFill="1" applyBorder="1" applyAlignment="1">
      <alignment vertical="center" wrapText="1"/>
    </xf>
    <xf numFmtId="49" fontId="29" fillId="29" borderId="40" xfId="0" applyNumberFormat="1" applyFont="1" applyFill="1" applyBorder="1" applyAlignment="1">
      <alignment horizontal="left" vertical="center"/>
    </xf>
    <xf numFmtId="3" fontId="29" fillId="29" borderId="41" xfId="0" applyNumberFormat="1" applyFont="1" applyFill="1" applyBorder="1" applyAlignment="1">
      <alignment vertical="center" wrapText="1"/>
    </xf>
    <xf numFmtId="0" fontId="0" fillId="29" borderId="35" xfId="0" applyFill="1" applyBorder="1" applyAlignment="1">
      <alignment vertical="top" wrapText="1"/>
    </xf>
    <xf numFmtId="49" fontId="31" fillId="32" borderId="35" xfId="0" applyNumberFormat="1" applyFont="1" applyFill="1" applyBorder="1" applyAlignment="1">
      <alignment vertical="center" wrapText="1"/>
    </xf>
    <xf numFmtId="0" fontId="28" fillId="29" borderId="35" xfId="0" applyFont="1" applyFill="1" applyBorder="1" applyAlignment="1">
      <alignment horizontal="right" vertical="center"/>
    </xf>
    <xf numFmtId="49" fontId="28" fillId="34" borderId="44" xfId="0" applyNumberFormat="1" applyFont="1" applyFill="1" applyBorder="1" applyAlignment="1">
      <alignment vertical="center"/>
    </xf>
    <xf numFmtId="49" fontId="28" fillId="31" borderId="44" xfId="0" applyNumberFormat="1" applyFont="1" applyFill="1" applyBorder="1" applyAlignment="1">
      <alignment horizontal="center" vertical="center" wrapText="1"/>
    </xf>
    <xf numFmtId="49" fontId="28" fillId="34" borderId="44" xfId="0" applyNumberFormat="1" applyFont="1" applyFill="1" applyBorder="1" applyAlignment="1">
      <alignment vertical="center" wrapText="1"/>
    </xf>
    <xf numFmtId="49" fontId="28" fillId="34" borderId="44" xfId="0" applyNumberFormat="1" applyFont="1" applyFill="1" applyBorder="1" applyAlignment="1">
      <alignment horizontal="center" vertical="center" wrapText="1"/>
    </xf>
    <xf numFmtId="49" fontId="29" fillId="29" borderId="45" xfId="0" applyNumberFormat="1" applyFont="1" applyFill="1" applyBorder="1" applyAlignment="1">
      <alignment vertical="center"/>
    </xf>
    <xf numFmtId="0" fontId="29" fillId="29" borderId="45" xfId="0" applyFont="1" applyFill="1" applyBorder="1" applyAlignment="1">
      <alignment vertical="center" wrapText="1"/>
    </xf>
    <xf numFmtId="1" fontId="29" fillId="29" borderId="45" xfId="0" applyNumberFormat="1" applyFont="1" applyFill="1" applyBorder="1" applyAlignment="1">
      <alignment horizontal="right" vertical="center" wrapText="1"/>
    </xf>
    <xf numFmtId="0" fontId="31" fillId="32" borderId="46" xfId="0" applyFont="1" applyFill="1" applyBorder="1" applyAlignment="1">
      <alignment vertical="center" wrapText="1"/>
    </xf>
    <xf numFmtId="0" fontId="0" fillId="29" borderId="45" xfId="0" applyFill="1" applyBorder="1" applyAlignment="1">
      <alignment vertical="top" wrapText="1"/>
    </xf>
    <xf numFmtId="0" fontId="29" fillId="32" borderId="46" xfId="0" applyFont="1" applyFill="1" applyBorder="1" applyAlignment="1">
      <alignment vertical="center" wrapText="1"/>
    </xf>
    <xf numFmtId="3" fontId="29" fillId="29" borderId="45" xfId="0" applyNumberFormat="1" applyFont="1" applyFill="1" applyBorder="1" applyAlignment="1">
      <alignment vertical="center" wrapText="1"/>
    </xf>
    <xf numFmtId="49" fontId="29" fillId="32" borderId="46" xfId="0" applyNumberFormat="1" applyFont="1" applyFill="1" applyBorder="1" applyAlignment="1">
      <alignment vertical="center" wrapText="1"/>
    </xf>
    <xf numFmtId="49" fontId="29" fillId="29" borderId="45" xfId="0" applyNumberFormat="1" applyFont="1" applyFill="1" applyBorder="1" applyAlignment="1">
      <alignment horizontal="left" vertical="center" indent="3"/>
    </xf>
    <xf numFmtId="0" fontId="29" fillId="29" borderId="45" xfId="0" applyNumberFormat="1" applyFont="1" applyFill="1" applyBorder="1" applyAlignment="1">
      <alignment vertical="center" wrapText="1"/>
    </xf>
    <xf numFmtId="0" fontId="29" fillId="29" borderId="47" xfId="0" applyNumberFormat="1" applyFont="1" applyFill="1" applyBorder="1" applyAlignment="1">
      <alignment vertical="center" wrapText="1"/>
    </xf>
    <xf numFmtId="49" fontId="29" fillId="29" borderId="45" xfId="0" applyNumberFormat="1" applyFont="1" applyFill="1" applyBorder="1" applyAlignment="1">
      <alignment horizontal="left" vertical="center"/>
    </xf>
    <xf numFmtId="49" fontId="29" fillId="29" borderId="45" xfId="0" applyNumberFormat="1" applyFont="1" applyFill="1" applyBorder="1" applyAlignment="1">
      <alignment horizontal="left" vertical="center" indent="4"/>
    </xf>
    <xf numFmtId="49" fontId="29" fillId="29" borderId="45" xfId="0" applyNumberFormat="1" applyFont="1" applyFill="1" applyBorder="1" applyAlignment="1">
      <alignment vertical="center" indent="3"/>
    </xf>
    <xf numFmtId="173" fontId="29" fillId="29" borderId="47" xfId="0" applyNumberFormat="1" applyFont="1" applyFill="1" applyBorder="1" applyAlignment="1">
      <alignment vertical="center" wrapText="1"/>
    </xf>
    <xf numFmtId="49" fontId="28" fillId="32" borderId="48" xfId="0" applyNumberFormat="1" applyFont="1" applyFill="1" applyBorder="1" applyAlignment="1">
      <alignment horizontal="right" vertical="center"/>
    </xf>
    <xf numFmtId="3" fontId="28" fillId="32" borderId="48" xfId="0" applyNumberFormat="1" applyFont="1" applyFill="1" applyBorder="1" applyAlignment="1">
      <alignment vertical="center" wrapText="1"/>
    </xf>
    <xf numFmtId="0" fontId="0" fillId="0" borderId="0" xfId="0" applyAlignment="1">
      <alignment horizontal="center"/>
    </xf>
    <xf numFmtId="0" fontId="0" fillId="0" borderId="0" xfId="0" applyFill="1" applyAlignment="1">
      <alignment horizontal="center"/>
    </xf>
    <xf numFmtId="0" fontId="36" fillId="0" borderId="0" xfId="0" applyFont="1" applyFill="1" applyAlignment="1">
      <alignment horizontal="center"/>
    </xf>
    <xf numFmtId="0" fontId="36" fillId="0" borderId="0" xfId="0" applyFont="1"/>
    <xf numFmtId="16" fontId="36" fillId="0" borderId="0" xfId="0" quotePrefix="1" applyNumberFormat="1" applyFont="1" applyFill="1" applyAlignment="1">
      <alignment horizontal="center"/>
    </xf>
    <xf numFmtId="0" fontId="36" fillId="0" borderId="34" xfId="0" applyFont="1" applyFill="1" applyBorder="1" applyAlignment="1">
      <alignment horizontal="center"/>
    </xf>
    <xf numFmtId="0" fontId="36" fillId="0" borderId="0" xfId="0" applyFont="1" applyFill="1" applyBorder="1" applyAlignment="1">
      <alignment horizontal="center"/>
    </xf>
    <xf numFmtId="0" fontId="37" fillId="0" borderId="0" xfId="0" applyFont="1"/>
    <xf numFmtId="0" fontId="0" fillId="0" borderId="0" xfId="0" applyFill="1"/>
    <xf numFmtId="0" fontId="36" fillId="0" borderId="0" xfId="0" applyFont="1" applyFill="1"/>
    <xf numFmtId="174" fontId="36" fillId="0" borderId="0" xfId="6" applyNumberFormat="1" applyFont="1" applyFill="1"/>
    <xf numFmtId="0" fontId="36" fillId="0" borderId="34" xfId="0" applyFont="1" applyBorder="1"/>
    <xf numFmtId="0" fontId="37" fillId="0" borderId="20" xfId="0" applyFont="1" applyBorder="1"/>
    <xf numFmtId="174" fontId="36" fillId="0" borderId="20" xfId="6" applyNumberFormat="1" applyFont="1" applyFill="1" applyBorder="1"/>
    <xf numFmtId="174" fontId="36" fillId="0" borderId="0" xfId="6" applyNumberFormat="1" applyFont="1" applyFill="1" applyBorder="1"/>
    <xf numFmtId="0" fontId="37" fillId="0" borderId="34" xfId="0" applyFont="1" applyBorder="1"/>
    <xf numFmtId="174" fontId="36" fillId="0" borderId="34" xfId="6" applyNumberFormat="1" applyFont="1" applyFill="1" applyBorder="1"/>
    <xf numFmtId="0" fontId="37" fillId="0" borderId="49" xfId="0" applyFont="1" applyBorder="1"/>
    <xf numFmtId="174" fontId="37" fillId="0" borderId="49" xfId="6" applyNumberFormat="1" applyFont="1" applyFill="1" applyBorder="1"/>
    <xf numFmtId="174" fontId="26" fillId="0" borderId="0" xfId="6" applyNumberFormat="1" applyFont="1" applyFill="1" applyBorder="1"/>
    <xf numFmtId="174" fontId="38" fillId="0" borderId="0" xfId="6" quotePrefix="1" applyNumberFormat="1" applyFont="1" applyFill="1" applyAlignment="1">
      <alignment horizontal="right"/>
    </xf>
    <xf numFmtId="174" fontId="37" fillId="0" borderId="20" xfId="6" applyNumberFormat="1" applyFont="1" applyFill="1" applyBorder="1"/>
    <xf numFmtId="174" fontId="37" fillId="0" borderId="0" xfId="6" applyNumberFormat="1" applyFont="1" applyFill="1" applyBorder="1"/>
    <xf numFmtId="175" fontId="0" fillId="0" borderId="0" xfId="5" applyNumberFormat="1" applyFont="1" applyFill="1"/>
    <xf numFmtId="167" fontId="0" fillId="0" borderId="0" xfId="5" applyFont="1"/>
    <xf numFmtId="174" fontId="0" fillId="0" borderId="0" xfId="0" applyNumberFormat="1" applyFill="1"/>
    <xf numFmtId="175" fontId="0" fillId="0" borderId="0" xfId="0" applyNumberFormat="1" applyFill="1"/>
    <xf numFmtId="0" fontId="39" fillId="0" borderId="0" xfId="0" applyFont="1"/>
    <xf numFmtId="167" fontId="0" fillId="0" borderId="0" xfId="5" applyFont="1" applyFill="1"/>
    <xf numFmtId="0" fontId="40" fillId="0" borderId="0" xfId="0" applyFont="1"/>
    <xf numFmtId="0" fontId="40" fillId="0" borderId="0" xfId="0" applyFont="1" applyFill="1"/>
    <xf numFmtId="166" fontId="11" fillId="8" borderId="11" xfId="1" applyFont="1" applyFill="1" applyBorder="1" applyAlignment="1">
      <alignment wrapText="1"/>
    </xf>
    <xf numFmtId="171" fontId="11" fillId="15" borderId="11" xfId="1" applyNumberFormat="1" applyFont="1" applyFill="1" applyBorder="1" applyAlignment="1">
      <alignment wrapText="1"/>
    </xf>
    <xf numFmtId="171" fontId="11" fillId="8" borderId="11" xfId="1" applyNumberFormat="1" applyFont="1" applyFill="1" applyBorder="1" applyAlignment="1">
      <alignment wrapText="1"/>
    </xf>
    <xf numFmtId="166" fontId="21" fillId="0" borderId="11" xfId="1" applyFont="1" applyBorder="1" applyAlignment="1"/>
    <xf numFmtId="171" fontId="22" fillId="0" borderId="11" xfId="0" applyNumberFormat="1" applyFont="1" applyFill="1" applyBorder="1" applyAlignment="1"/>
    <xf numFmtId="49" fontId="21" fillId="14" borderId="6" xfId="0" applyNumberFormat="1" applyFont="1" applyFill="1" applyBorder="1" applyAlignment="1">
      <alignment horizontal="left" wrapText="1" indent="1"/>
    </xf>
    <xf numFmtId="166" fontId="11" fillId="14" borderId="11" xfId="1" applyFont="1" applyFill="1" applyBorder="1" applyAlignment="1">
      <alignment wrapText="1"/>
    </xf>
    <xf numFmtId="166" fontId="11" fillId="12" borderId="11" xfId="1" applyFont="1" applyFill="1" applyBorder="1" applyAlignment="1">
      <alignment wrapText="1"/>
    </xf>
    <xf numFmtId="49" fontId="11" fillId="6" borderId="11" xfId="0" applyNumberFormat="1" applyFont="1" applyFill="1" applyBorder="1" applyAlignment="1">
      <alignment wrapText="1"/>
    </xf>
    <xf numFmtId="0" fontId="11" fillId="6" borderId="11" xfId="0" applyFont="1" applyFill="1" applyBorder="1" applyAlignment="1">
      <alignment wrapText="1"/>
    </xf>
    <xf numFmtId="166" fontId="21" fillId="12" borderId="11" xfId="1" applyFont="1" applyFill="1" applyBorder="1" applyAlignment="1">
      <alignment vertical="center" wrapText="1"/>
    </xf>
    <xf numFmtId="166" fontId="11" fillId="0" borderId="11" xfId="1" applyFont="1" applyBorder="1" applyAlignment="1">
      <alignment wrapText="1"/>
    </xf>
    <xf numFmtId="166" fontId="21" fillId="10" borderId="11" xfId="1" applyFont="1" applyFill="1" applyBorder="1" applyAlignment="1">
      <alignment wrapText="1"/>
    </xf>
    <xf numFmtId="166" fontId="21" fillId="16" borderId="11" xfId="1" applyFont="1" applyFill="1" applyBorder="1" applyAlignment="1">
      <alignment wrapText="1"/>
    </xf>
    <xf numFmtId="166" fontId="21" fillId="0" borderId="11" xfId="1" applyFont="1" applyFill="1" applyBorder="1" applyAlignment="1">
      <alignment wrapText="1"/>
    </xf>
    <xf numFmtId="166" fontId="11" fillId="0" borderId="11" xfId="1" applyFont="1" applyFill="1" applyBorder="1" applyAlignment="1">
      <alignment wrapText="1"/>
    </xf>
    <xf numFmtId="166" fontId="21" fillId="8" borderId="11" xfId="1" applyFont="1" applyFill="1" applyBorder="1" applyAlignment="1">
      <alignment wrapText="1"/>
    </xf>
    <xf numFmtId="0" fontId="11" fillId="3" borderId="11" xfId="0" applyFont="1" applyFill="1" applyBorder="1" applyAlignment="1">
      <alignment wrapText="1"/>
    </xf>
    <xf numFmtId="166" fontId="21" fillId="13" borderId="11" xfId="1" applyFont="1" applyFill="1" applyBorder="1" applyAlignment="1">
      <alignment wrapText="1"/>
    </xf>
    <xf numFmtId="166" fontId="22" fillId="0" borderId="21" xfId="1" applyFont="1" applyBorder="1" applyAlignment="1">
      <alignment vertical="center" wrapText="1"/>
    </xf>
    <xf numFmtId="166" fontId="21" fillId="9" borderId="11" xfId="1" applyFont="1" applyFill="1" applyBorder="1" applyAlignment="1">
      <alignment wrapText="1"/>
    </xf>
    <xf numFmtId="166" fontId="22" fillId="0" borderId="11" xfId="1" applyFont="1" applyBorder="1" applyAlignment="1">
      <alignment wrapText="1"/>
    </xf>
    <xf numFmtId="166" fontId="11" fillId="0" borderId="0" xfId="1" applyFont="1" applyAlignment="1">
      <alignment wrapText="1"/>
    </xf>
    <xf numFmtId="0" fontId="24" fillId="9" borderId="20" xfId="0" applyFont="1" applyFill="1" applyBorder="1" applyAlignment="1">
      <alignment horizontal="center" wrapText="1"/>
    </xf>
    <xf numFmtId="0" fontId="14" fillId="0" borderId="0" xfId="0" applyFont="1" applyBorder="1" applyAlignment="1">
      <alignment horizontal="center"/>
    </xf>
    <xf numFmtId="0" fontId="14" fillId="0" borderId="22" xfId="0" applyFont="1" applyBorder="1" applyAlignment="1">
      <alignment horizont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0" fontId="5" fillId="0" borderId="0" xfId="0" applyNumberFormat="1" applyFont="1" applyFill="1" applyBorder="1" applyAlignment="1">
      <alignment horizontal="center" vertical="center" wrapText="1"/>
    </xf>
  </cellXfs>
  <cellStyles count="7">
    <cellStyle name="Comma" xfId="5" builtinId="3"/>
    <cellStyle name="Currency" xfId="1" builtinId="4"/>
    <cellStyle name="Currency 2" xfId="2" xr:uid="{00000000-0005-0000-0000-000001000000}"/>
    <cellStyle name="Currency 3" xfId="6" xr:uid="{202DA6DE-846B-4101-AE56-E03B9CE78934}"/>
    <cellStyle name="Normal" xfId="0" builtinId="0"/>
    <cellStyle name="Normal 2" xfId="3" xr:uid="{00000000-0005-0000-0000-000003000000}"/>
    <cellStyle name="Percent" xfId="4" builtinId="5"/>
  </cellStyles>
  <dxfs count="2">
    <dxf>
      <font>
        <color rgb="FFFF0000"/>
      </font>
    </dxf>
    <dxf>
      <font>
        <color rgb="FFFF0000"/>
      </font>
    </dxf>
  </dxfs>
  <tableStyles count="0"/>
  <colors>
    <indexedColors>
      <rgbColor rgb="00000000"/>
      <rgbColor rgb="00FFFFFF"/>
      <rgbColor rgb="00FF0000"/>
      <rgbColor rgb="0000FF00"/>
      <rgbColor rgb="000000FF"/>
      <rgbColor rgb="00FFFF00"/>
      <rgbColor rgb="00FF00FF"/>
      <rgbColor rgb="0000FFFF"/>
      <rgbColor rgb="00000000"/>
      <rgbColor rgb="00AAAAAA"/>
      <rgbColor rgb="00FFFFFF"/>
      <rgbColor rgb="00D8D8D8"/>
      <rgbColor rgb="00FF0000"/>
      <rgbColor rgb="00BFBFBF"/>
      <rgbColor rgb="00D2DAE4"/>
      <rgbColor rgb="00F2DBDB"/>
      <rgbColor rgb="00D6E3BC"/>
      <rgbColor rgb="00E5DFEC"/>
      <rgbColor rgb="00FDE9D9"/>
      <rgbColor rgb="00FFFF00"/>
      <rgbColor rgb="000000FF"/>
      <rgbColor rgb="00DEEAF6"/>
      <rgbColor rgb="00E2EFD9"/>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vin/Google%20Drive/SHC/Finance/Financial%20Statements/2021/Sunnyhill%20FS%20December%202021_f%20U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nny/AppData/Local/Microsoft/Windows/INetCache/Content.Outlook/DEC9LUP7/Planning%20and%20Development%20Financial%20Trac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evin/Google%20Drive/SHC/Budgets/2022/2022%20Planning%20and%20Development%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Dec 2021"/>
      <sheetName val="Dec 21 budgactual "/>
      <sheetName val="Dec 21 Summ"/>
      <sheetName val="P&amp;Dev Noc 21"/>
      <sheetName val="FinNotes_to amend"/>
      <sheetName val="Dec 20 P&amp;Dev"/>
    </sheetNames>
    <sheetDataSet>
      <sheetData sheetId="0"/>
      <sheetData sheetId="1">
        <row r="158">
          <cell r="C158">
            <v>231695</v>
          </cell>
        </row>
        <row r="163">
          <cell r="C163">
            <v>41260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 2 - UM Workplan extension"/>
    </sheetNames>
    <sheetDataSet>
      <sheetData sheetId="0" refreshError="1"/>
      <sheetData sheetId="1">
        <row r="4">
          <cell r="I4">
            <v>700</v>
          </cell>
        </row>
        <row r="5">
          <cell r="I5">
            <v>10575</v>
          </cell>
        </row>
        <row r="6">
          <cell r="I6">
            <v>9820</v>
          </cell>
        </row>
        <row r="7">
          <cell r="I7">
            <v>5900</v>
          </cell>
        </row>
        <row r="8">
          <cell r="I8">
            <v>16980</v>
          </cell>
        </row>
        <row r="9">
          <cell r="I9">
            <v>7330</v>
          </cell>
        </row>
        <row r="10">
          <cell r="I10">
            <v>57772</v>
          </cell>
        </row>
        <row r="11">
          <cell r="I11">
            <v>17930</v>
          </cell>
        </row>
        <row r="12">
          <cell r="I12">
            <v>22995</v>
          </cell>
        </row>
        <row r="13">
          <cell r="I13">
            <v>7298.3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 2"/>
    </sheetNames>
    <sheetDataSet>
      <sheetData sheetId="0"/>
      <sheetData sheetId="1">
        <row r="4">
          <cell r="I4">
            <v>700</v>
          </cell>
        </row>
        <row r="5">
          <cell r="I5">
            <v>10575</v>
          </cell>
        </row>
        <row r="6">
          <cell r="I6">
            <v>9820</v>
          </cell>
        </row>
        <row r="7">
          <cell r="I7">
            <v>5900</v>
          </cell>
        </row>
        <row r="8">
          <cell r="I8">
            <v>16980</v>
          </cell>
        </row>
        <row r="9">
          <cell r="I9">
            <v>7330</v>
          </cell>
        </row>
        <row r="10">
          <cell r="I10">
            <v>57772</v>
          </cell>
        </row>
        <row r="11">
          <cell r="I11">
            <v>17930</v>
          </cell>
        </row>
        <row r="12">
          <cell r="I12">
            <v>22995</v>
          </cell>
        </row>
        <row r="13">
          <cell r="I13">
            <v>7298.3</v>
          </cell>
        </row>
      </sheetData>
    </sheetDataSet>
  </externalBook>
</externalLink>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quarespace.com/" TargetMode="External"/><Relationship Id="rId2" Type="http://schemas.openxmlformats.org/officeDocument/2006/relationships/hyperlink" Target="http://squarespace.com/" TargetMode="External"/><Relationship Id="rId1" Type="http://schemas.openxmlformats.org/officeDocument/2006/relationships/hyperlink" Target="http://squarespace.com/"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3D-EE86-4896-9C32-67E1637A7763}">
  <dimension ref="A2:G86"/>
  <sheetViews>
    <sheetView topLeftCell="A29" workbookViewId="0">
      <selection activeCell="B48" sqref="B48"/>
    </sheetView>
  </sheetViews>
  <sheetFormatPr baseColWidth="10" defaultColWidth="9.1640625" defaultRowHeight="15"/>
  <cols>
    <col min="1" max="1" width="9.83203125" style="16" customWidth="1"/>
    <col min="2" max="2" width="37.6640625" style="16" customWidth="1"/>
    <col min="3" max="3" width="17.33203125" style="515" customWidth="1"/>
    <col min="4" max="4" width="19.6640625" style="515" customWidth="1"/>
    <col min="5" max="5" width="10.83203125" style="16" customWidth="1"/>
    <col min="6" max="6" width="11.6640625" style="16" customWidth="1"/>
    <col min="7" max="16384" width="9.1640625" style="16"/>
  </cols>
  <sheetData>
    <row r="2" spans="1:5" s="507" customFormat="1">
      <c r="C2" s="508"/>
      <c r="D2" s="508"/>
    </row>
    <row r="3" spans="1:5" ht="16">
      <c r="C3" s="509"/>
      <c r="D3" s="509"/>
    </row>
    <row r="4" spans="1:5" ht="16">
      <c r="A4" s="510"/>
      <c r="B4" s="510"/>
      <c r="C4" s="509" t="s">
        <v>472</v>
      </c>
      <c r="D4" s="509" t="s">
        <v>472</v>
      </c>
      <c r="E4" s="509"/>
    </row>
    <row r="5" spans="1:5" ht="16">
      <c r="A5" s="510"/>
      <c r="B5" s="510"/>
      <c r="C5" s="511" t="s">
        <v>629</v>
      </c>
      <c r="D5" s="511" t="s">
        <v>629</v>
      </c>
      <c r="E5" s="511"/>
    </row>
    <row r="6" spans="1:5" ht="16">
      <c r="A6" s="510"/>
      <c r="B6" s="510"/>
      <c r="C6" s="512">
        <v>2021</v>
      </c>
      <c r="D6" s="512">
        <v>2020</v>
      </c>
      <c r="E6" s="513"/>
    </row>
    <row r="7" spans="1:5" ht="16">
      <c r="A7" s="514" t="s">
        <v>194</v>
      </c>
      <c r="B7" s="510"/>
      <c r="D7" s="516"/>
      <c r="E7" s="510"/>
    </row>
    <row r="8" spans="1:5" ht="16">
      <c r="A8" s="510"/>
      <c r="B8" s="510" t="s">
        <v>630</v>
      </c>
      <c r="C8" s="517">
        <v>676981</v>
      </c>
      <c r="D8" s="517">
        <v>575150</v>
      </c>
      <c r="E8" s="517"/>
    </row>
    <row r="9" spans="1:5" ht="9.75" customHeight="1">
      <c r="A9" s="510"/>
      <c r="B9" s="510"/>
      <c r="C9" s="517"/>
      <c r="D9" s="517"/>
      <c r="E9" s="517"/>
    </row>
    <row r="10" spans="1:5" ht="16">
      <c r="A10" s="510"/>
      <c r="B10" s="510" t="s">
        <v>195</v>
      </c>
      <c r="C10" s="517">
        <f>613657-285958</f>
        <v>327699</v>
      </c>
      <c r="D10" s="517">
        <v>313517</v>
      </c>
      <c r="E10" s="517"/>
    </row>
    <row r="11" spans="1:5" ht="16" hidden="1">
      <c r="A11" s="510"/>
      <c r="B11" s="510" t="s">
        <v>631</v>
      </c>
      <c r="C11" s="517">
        <v>0</v>
      </c>
      <c r="D11" s="517">
        <v>0</v>
      </c>
      <c r="E11" s="517"/>
    </row>
    <row r="12" spans="1:5" ht="16">
      <c r="A12" s="510"/>
      <c r="B12" s="518" t="s">
        <v>196</v>
      </c>
      <c r="C12" s="517">
        <v>285958</v>
      </c>
      <c r="D12" s="517">
        <v>285958</v>
      </c>
      <c r="E12" s="517"/>
    </row>
    <row r="13" spans="1:5" ht="17.5" customHeight="1">
      <c r="A13" s="510"/>
      <c r="B13" s="519" t="s">
        <v>632</v>
      </c>
      <c r="C13" s="520">
        <f>SUM(C10:C12)</f>
        <v>613657</v>
      </c>
      <c r="D13" s="520">
        <f>SUM(D10:D12)</f>
        <v>599475</v>
      </c>
      <c r="E13" s="521"/>
    </row>
    <row r="14" spans="1:5" ht="8.5" customHeight="1">
      <c r="A14" s="510"/>
      <c r="B14" s="510"/>
      <c r="C14" s="517"/>
      <c r="D14" s="517"/>
      <c r="E14" s="517"/>
    </row>
    <row r="15" spans="1:5" ht="17.5" customHeight="1">
      <c r="A15" s="510"/>
      <c r="B15" s="522" t="s">
        <v>633</v>
      </c>
      <c r="C15" s="523">
        <f>C8+C13</f>
        <v>1290638</v>
      </c>
      <c r="D15" s="523">
        <f>D8+D13</f>
        <v>1174625</v>
      </c>
    </row>
    <row r="16" spans="1:5" ht="11" customHeight="1">
      <c r="A16" s="510"/>
      <c r="B16" s="510"/>
      <c r="C16" s="517"/>
      <c r="D16" s="517"/>
      <c r="E16" s="517"/>
    </row>
    <row r="17" spans="1:5" ht="16">
      <c r="A17" s="510"/>
      <c r="B17" s="510" t="s">
        <v>197</v>
      </c>
      <c r="C17" s="517">
        <v>2991</v>
      </c>
      <c r="D17" s="517">
        <v>1916</v>
      </c>
      <c r="E17" s="517"/>
    </row>
    <row r="18" spans="1:5" ht="16">
      <c r="A18" s="510"/>
      <c r="B18" s="510" t="s">
        <v>634</v>
      </c>
      <c r="C18" s="517">
        <v>16578</v>
      </c>
      <c r="D18" s="517">
        <v>0</v>
      </c>
      <c r="E18" s="517"/>
    </row>
    <row r="19" spans="1:5" ht="16" hidden="1">
      <c r="A19" s="510"/>
      <c r="B19" s="510" t="s">
        <v>635</v>
      </c>
      <c r="C19" s="517"/>
      <c r="D19" s="517">
        <v>0</v>
      </c>
      <c r="E19" s="517"/>
    </row>
    <row r="20" spans="1:5" ht="16">
      <c r="A20" s="510"/>
      <c r="B20" s="510" t="s">
        <v>636</v>
      </c>
      <c r="C20" s="517">
        <f>1502153-26504</f>
        <v>1475649</v>
      </c>
      <c r="D20" s="517">
        <v>1502154</v>
      </c>
      <c r="E20" s="517"/>
    </row>
    <row r="21" spans="1:5" ht="17" customHeight="1" thickBot="1">
      <c r="A21" s="514"/>
      <c r="B21" s="524" t="s">
        <v>637</v>
      </c>
      <c r="C21" s="525">
        <f>C8+C13+SUM(C17:C20)</f>
        <v>2785856</v>
      </c>
      <c r="D21" s="525">
        <f>D8+D13+SUM(D17:D20)</f>
        <v>2678695</v>
      </c>
      <c r="E21" s="526"/>
    </row>
    <row r="22" spans="1:5" ht="17" thickTop="1">
      <c r="A22" s="510"/>
      <c r="B22" s="510"/>
      <c r="C22" s="517"/>
      <c r="D22" s="517"/>
      <c r="E22" s="517"/>
    </row>
    <row r="23" spans="1:5" ht="16">
      <c r="A23" s="514" t="s">
        <v>198</v>
      </c>
      <c r="B23" s="510"/>
      <c r="C23" s="517"/>
      <c r="D23" s="517"/>
      <c r="E23" s="517"/>
    </row>
    <row r="24" spans="1:5" ht="16">
      <c r="A24" s="510"/>
      <c r="B24" s="510" t="s">
        <v>638</v>
      </c>
      <c r="C24" s="517">
        <f>5109+12919+1+1078</f>
        <v>19107</v>
      </c>
      <c r="D24" s="517">
        <f>55001+12431+2+5218</f>
        <v>72652</v>
      </c>
      <c r="E24" s="527"/>
    </row>
    <row r="25" spans="1:5" ht="16">
      <c r="A25" s="510"/>
      <c r="B25" s="510" t="s">
        <v>639</v>
      </c>
      <c r="C25" s="517">
        <v>9127</v>
      </c>
      <c r="D25" s="517">
        <v>8298</v>
      </c>
    </row>
    <row r="26" spans="1:5" ht="16">
      <c r="A26" s="510"/>
      <c r="B26" s="510" t="s">
        <v>376</v>
      </c>
      <c r="C26" s="517">
        <v>6215</v>
      </c>
      <c r="D26" s="517">
        <v>6216</v>
      </c>
      <c r="E26" s="517"/>
    </row>
    <row r="27" spans="1:5" ht="16">
      <c r="A27" s="510"/>
      <c r="B27" s="510" t="s">
        <v>640</v>
      </c>
      <c r="C27" s="517">
        <v>44318</v>
      </c>
      <c r="D27" s="517">
        <v>50502</v>
      </c>
      <c r="E27" s="517"/>
    </row>
    <row r="28" spans="1:5" ht="16">
      <c r="A28" s="510"/>
      <c r="B28" s="510" t="s">
        <v>641</v>
      </c>
      <c r="C28" s="517">
        <v>1607588</v>
      </c>
      <c r="D28" s="517">
        <f>1603736+63000</f>
        <v>1666736</v>
      </c>
      <c r="E28" s="517"/>
    </row>
    <row r="29" spans="1:5" ht="16">
      <c r="A29" s="514"/>
      <c r="B29" s="519" t="s">
        <v>642</v>
      </c>
      <c r="C29" s="528">
        <f>SUM(C24:C28)</f>
        <v>1686355</v>
      </c>
      <c r="D29" s="528">
        <f>SUM(D24:D28)</f>
        <v>1804404</v>
      </c>
      <c r="E29" s="526"/>
    </row>
    <row r="30" spans="1:5" ht="16">
      <c r="A30" s="510"/>
      <c r="B30" s="510"/>
      <c r="C30" s="517"/>
      <c r="D30" s="517"/>
      <c r="E30" s="517"/>
    </row>
    <row r="31" spans="1:5" ht="16">
      <c r="A31" s="514" t="s">
        <v>199</v>
      </c>
      <c r="B31" s="510" t="s">
        <v>643</v>
      </c>
      <c r="C31" s="517">
        <v>81934</v>
      </c>
      <c r="D31" s="517">
        <v>79418</v>
      </c>
      <c r="E31" s="517"/>
    </row>
    <row r="32" spans="1:5" ht="16" hidden="1">
      <c r="A32" s="514"/>
      <c r="B32" s="510" t="s">
        <v>644</v>
      </c>
      <c r="C32" s="521"/>
      <c r="D32" s="521">
        <v>0</v>
      </c>
      <c r="E32" s="517"/>
    </row>
    <row r="33" spans="1:7" ht="16">
      <c r="A33" s="510"/>
      <c r="B33" s="510" t="s">
        <v>645</v>
      </c>
      <c r="C33" s="521">
        <f>'[1]Dec 21 budgactual '!C158</f>
        <v>231695</v>
      </c>
      <c r="D33" s="521">
        <v>239517</v>
      </c>
      <c r="E33" s="517"/>
    </row>
    <row r="34" spans="1:7" ht="16">
      <c r="A34" s="510"/>
      <c r="B34" s="510" t="s">
        <v>200</v>
      </c>
      <c r="C34" s="521">
        <f>'[1]Dec 21 budgactual '!C163</f>
        <v>41260</v>
      </c>
      <c r="D34" s="521">
        <v>38142</v>
      </c>
      <c r="E34" s="517"/>
    </row>
    <row r="35" spans="1:7" ht="16">
      <c r="A35" s="510"/>
      <c r="B35" s="510" t="s">
        <v>201</v>
      </c>
      <c r="C35" s="517">
        <v>744612</v>
      </c>
      <c r="D35" s="517">
        <v>517214</v>
      </c>
      <c r="E35" s="517"/>
    </row>
    <row r="36" spans="1:7" ht="16">
      <c r="A36" s="510"/>
      <c r="B36" s="519" t="s">
        <v>646</v>
      </c>
      <c r="C36" s="528">
        <f>ROUND(SUM(C31:C35),0)</f>
        <v>1099501</v>
      </c>
      <c r="D36" s="528">
        <f>ROUND(SUM(D31:D35),0)</f>
        <v>874291</v>
      </c>
      <c r="E36" s="529"/>
    </row>
    <row r="37" spans="1:7" ht="16">
      <c r="A37" s="510"/>
      <c r="B37" s="510"/>
      <c r="C37" s="517"/>
      <c r="D37" s="517"/>
      <c r="E37" s="517"/>
    </row>
    <row r="38" spans="1:7" ht="17" thickBot="1">
      <c r="A38" s="510"/>
      <c r="B38" s="524" t="s">
        <v>647</v>
      </c>
      <c r="C38" s="525">
        <f>C29+C36</f>
        <v>2785856</v>
      </c>
      <c r="D38" s="525">
        <f>D29+D36</f>
        <v>2678695</v>
      </c>
      <c r="E38" s="529"/>
    </row>
    <row r="39" spans="1:7" ht="17" thickTop="1">
      <c r="A39" s="510"/>
      <c r="B39" s="510"/>
      <c r="C39" s="516"/>
      <c r="D39" s="516"/>
      <c r="E39" s="516"/>
    </row>
    <row r="40" spans="1:7" ht="16">
      <c r="A40" s="510"/>
      <c r="C40" s="530"/>
      <c r="F40" s="531"/>
      <c r="G40" s="531"/>
    </row>
    <row r="41" spans="1:7">
      <c r="C41" s="532">
        <f>C21-C38</f>
        <v>0</v>
      </c>
      <c r="D41" s="532">
        <f>D21-D38</f>
        <v>0</v>
      </c>
      <c r="F41" s="531"/>
      <c r="G41" s="531"/>
    </row>
    <row r="42" spans="1:7">
      <c r="C42" s="533"/>
      <c r="D42" s="532"/>
      <c r="F42" s="531"/>
    </row>
    <row r="43" spans="1:7">
      <c r="C43" s="533"/>
      <c r="D43" s="532"/>
      <c r="F43" s="531"/>
    </row>
    <row r="44" spans="1:7">
      <c r="B44" s="534"/>
      <c r="C44" s="533"/>
      <c r="D44" s="535"/>
    </row>
    <row r="85" spans="1:4" s="536" customFormat="1">
      <c r="A85" s="16"/>
      <c r="C85" s="537"/>
      <c r="D85" s="537"/>
    </row>
    <row r="86" spans="1:4">
      <c r="A86" s="53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
  <sheetViews>
    <sheetView showGridLines="0" workbookViewId="0">
      <selection sqref="A1:XFD1048576"/>
    </sheetView>
  </sheetViews>
  <sheetFormatPr baseColWidth="10" defaultColWidth="8.83203125" defaultRowHeight="15" customHeight="1"/>
  <cols>
    <col min="1" max="1" width="26.83203125" style="1" customWidth="1"/>
    <col min="2" max="2" width="13.5" style="1" customWidth="1"/>
    <col min="3" max="3" width="12.5" style="1" customWidth="1"/>
    <col min="4" max="4" width="11.5" style="1" customWidth="1"/>
    <col min="5" max="16384" width="8.83203125" style="1"/>
  </cols>
  <sheetData>
    <row r="1" spans="1:6" ht="15" customHeight="1">
      <c r="A1" s="61" t="s">
        <v>388</v>
      </c>
    </row>
    <row r="2" spans="1:6" ht="15" customHeight="1">
      <c r="A2" s="61"/>
    </row>
    <row r="3" spans="1:6" ht="13.5" customHeight="1">
      <c r="A3" s="3" t="s">
        <v>218</v>
      </c>
      <c r="B3" s="3"/>
      <c r="C3" s="3"/>
      <c r="D3" s="3"/>
      <c r="E3" s="3"/>
      <c r="F3" s="4"/>
    </row>
    <row r="4" spans="1:6" ht="18.75" customHeight="1">
      <c r="A4" s="14"/>
      <c r="B4" s="15"/>
      <c r="C4" s="15"/>
      <c r="D4" s="15"/>
      <c r="E4" s="3"/>
      <c r="F4" s="4"/>
    </row>
    <row r="5" spans="1:6" ht="15.75" customHeight="1">
      <c r="A5" s="5"/>
      <c r="B5" s="3"/>
      <c r="C5" s="3"/>
      <c r="D5" s="3"/>
      <c r="E5" s="3"/>
      <c r="F5" s="4"/>
    </row>
    <row r="6" spans="1:6" ht="70.5" customHeight="1">
      <c r="A6" s="9"/>
      <c r="B6" s="11"/>
      <c r="C6" s="11"/>
      <c r="D6" s="11"/>
      <c r="E6" s="3"/>
      <c r="F6" s="4"/>
    </row>
    <row r="7" spans="1:6" ht="21.75" customHeight="1">
      <c r="A7" s="3"/>
      <c r="B7" s="6"/>
      <c r="C7" s="6"/>
      <c r="D7" s="6"/>
      <c r="E7" s="3"/>
      <c r="F7" s="4"/>
    </row>
    <row r="8" spans="1:6" ht="75.75" customHeight="1">
      <c r="A8" s="564"/>
      <c r="B8" s="564"/>
      <c r="C8" s="564"/>
      <c r="D8" s="564"/>
      <c r="E8" s="3"/>
      <c r="F8" s="4"/>
    </row>
    <row r="9" spans="1:6" ht="15.75" customHeight="1">
      <c r="A9" s="565"/>
      <c r="B9" s="565"/>
      <c r="C9" s="565"/>
      <c r="D9" s="565"/>
      <c r="E9" s="3"/>
      <c r="F9" s="4"/>
    </row>
    <row r="10" spans="1:6" ht="31.5" customHeight="1">
      <c r="A10" s="7"/>
      <c r="B10" s="566"/>
      <c r="C10" s="566"/>
      <c r="D10" s="566"/>
      <c r="E10" s="3"/>
      <c r="F10" s="4"/>
    </row>
    <row r="11" spans="1:6" ht="67.5" customHeight="1">
      <c r="A11" s="8"/>
      <c r="B11" s="566"/>
      <c r="C11" s="566"/>
      <c r="D11" s="566"/>
      <c r="E11" s="3"/>
      <c r="F11" s="4"/>
    </row>
    <row r="12" spans="1:6" ht="32.25" customHeight="1">
      <c r="A12" s="9"/>
      <c r="B12" s="566"/>
      <c r="C12" s="566"/>
      <c r="D12" s="566"/>
      <c r="E12" s="3"/>
      <c r="F12" s="4"/>
    </row>
    <row r="13" spans="1:6" ht="15.75" customHeight="1">
      <c r="A13" s="10"/>
      <c r="B13" s="566"/>
      <c r="C13" s="566"/>
      <c r="D13" s="566"/>
      <c r="E13" s="3"/>
      <c r="F13" s="4"/>
    </row>
    <row r="14" spans="1:6" ht="15.75" customHeight="1">
      <c r="A14" s="7"/>
      <c r="B14" s="566"/>
      <c r="C14" s="566"/>
      <c r="D14" s="566"/>
      <c r="E14" s="3"/>
      <c r="F14" s="4"/>
    </row>
    <row r="15" spans="1:6" ht="43.5" customHeight="1">
      <c r="A15" s="9"/>
      <c r="B15" s="566"/>
      <c r="C15" s="566"/>
      <c r="D15" s="566"/>
      <c r="E15" s="3"/>
      <c r="F15" s="4"/>
    </row>
    <row r="16" spans="1:6" ht="15.75" customHeight="1">
      <c r="A16" s="10"/>
      <c r="B16" s="11"/>
      <c r="C16" s="11"/>
      <c r="D16" s="11"/>
      <c r="E16" s="3"/>
      <c r="F16" s="4"/>
    </row>
    <row r="17" spans="1:6" ht="15.75" customHeight="1">
      <c r="A17" s="7"/>
      <c r="B17" s="12"/>
      <c r="C17" s="12"/>
      <c r="D17" s="12"/>
      <c r="E17" s="3"/>
      <c r="F17" s="4"/>
    </row>
    <row r="18" spans="1:6" ht="16.5" customHeight="1">
      <c r="A18" s="10"/>
      <c r="B18" s="13"/>
      <c r="C18" s="13"/>
      <c r="D18" s="13"/>
      <c r="E18" s="3"/>
      <c r="F18" s="4"/>
    </row>
    <row r="19" spans="1:6" ht="15" customHeight="1">
      <c r="A19" s="4"/>
      <c r="B19" s="4"/>
      <c r="C19" s="4"/>
      <c r="D19" s="4"/>
      <c r="E19" s="4"/>
      <c r="F19" s="4"/>
    </row>
    <row r="20" spans="1:6" ht="15" customHeight="1">
      <c r="A20" s="4"/>
      <c r="B20" s="4"/>
      <c r="C20" s="4"/>
      <c r="D20" s="4"/>
      <c r="E20" s="4"/>
      <c r="F20" s="4"/>
    </row>
    <row r="21" spans="1:6" ht="15" customHeight="1">
      <c r="A21" s="4"/>
      <c r="B21" s="4"/>
      <c r="C21" s="4"/>
      <c r="D21" s="4"/>
      <c r="E21" s="4"/>
      <c r="F21" s="4"/>
    </row>
  </sheetData>
  <mergeCells count="10">
    <mergeCell ref="D8:D9"/>
    <mergeCell ref="D10:D12"/>
    <mergeCell ref="D13:D15"/>
    <mergeCell ref="A8:A9"/>
    <mergeCell ref="B8:B9"/>
    <mergeCell ref="B10:B12"/>
    <mergeCell ref="B13:B15"/>
    <mergeCell ref="C8:C9"/>
    <mergeCell ref="C10:C12"/>
    <mergeCell ref="C13:C15"/>
  </mergeCells>
  <phoneticPr fontId="20" type="noConversion"/>
  <conditionalFormatting sqref="B10:D15 B17:D17">
    <cfRule type="cellIs" dxfId="1" priority="1" stopIfTrue="1" operator="lessThan">
      <formula>0</formula>
    </cfRule>
  </conditionalFormatting>
  <pageMargins left="0.7" right="0.7" top="0.75" bottom="0.75" header="0.3" footer="0.3"/>
  <pageSetup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CC42C-AA53-49EC-BF78-948B9AEEE9DA}">
  <dimension ref="A2:E9"/>
  <sheetViews>
    <sheetView workbookViewId="0">
      <selection activeCell="G20" sqref="G20"/>
    </sheetView>
  </sheetViews>
  <sheetFormatPr baseColWidth="10" defaultColWidth="12.5" defaultRowHeight="15"/>
  <cols>
    <col min="1" max="3" width="12.5" style="16"/>
    <col min="4" max="4" width="4" style="16" customWidth="1"/>
    <col min="5" max="5" width="27.5" style="16" customWidth="1"/>
    <col min="6" max="16384" width="12.5" style="16"/>
  </cols>
  <sheetData>
    <row r="2" spans="1:5" ht="18">
      <c r="A2" s="390" t="s">
        <v>552</v>
      </c>
    </row>
    <row r="3" spans="1:5" s="391" customFormat="1" ht="26" customHeight="1">
      <c r="B3" s="392">
        <v>2021</v>
      </c>
      <c r="C3" s="392">
        <v>2022</v>
      </c>
    </row>
    <row r="4" spans="1:5">
      <c r="A4" s="16" t="s">
        <v>553</v>
      </c>
      <c r="B4" s="16">
        <v>175</v>
      </c>
      <c r="C4" s="16">
        <v>175</v>
      </c>
      <c r="E4" s="16" t="s">
        <v>554</v>
      </c>
    </row>
    <row r="5" spans="1:5">
      <c r="A5" s="16" t="s">
        <v>553</v>
      </c>
      <c r="B5" s="16">
        <v>75</v>
      </c>
      <c r="C5" s="16">
        <v>75</v>
      </c>
      <c r="E5" s="16" t="s">
        <v>555</v>
      </c>
    </row>
    <row r="6" spans="1:5">
      <c r="A6" s="16" t="s">
        <v>553</v>
      </c>
      <c r="B6" s="16">
        <v>25</v>
      </c>
      <c r="C6" s="16">
        <v>25</v>
      </c>
      <c r="E6" s="16" t="s">
        <v>556</v>
      </c>
    </row>
    <row r="7" spans="1:5">
      <c r="A7" s="16" t="s">
        <v>553</v>
      </c>
      <c r="B7" s="16">
        <v>100</v>
      </c>
      <c r="C7" s="16">
        <v>50</v>
      </c>
      <c r="E7" s="16" t="s">
        <v>557</v>
      </c>
    </row>
    <row r="8" spans="1:5">
      <c r="B8" s="393">
        <v>50</v>
      </c>
      <c r="C8" s="393"/>
      <c r="E8" s="16" t="s">
        <v>558</v>
      </c>
    </row>
    <row r="9" spans="1:5">
      <c r="B9" s="16">
        <f>SUM(B4:B8)</f>
        <v>425</v>
      </c>
      <c r="C9" s="16">
        <f>SUM(C4:C8)</f>
        <v>325</v>
      </c>
    </row>
  </sheetData>
  <conditionalFormatting sqref="B10:D15 B17:D17">
    <cfRule type="cellIs" dxfId="0" priority="1"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E175"/>
  <sheetViews>
    <sheetView tabSelected="1" zoomScale="110" zoomScaleNormal="110" workbookViewId="0">
      <pane xSplit="2" ySplit="2" topLeftCell="C168" activePane="bottomRight" state="frozen"/>
      <selection pane="topRight" activeCell="C1" sqref="C1"/>
      <selection pane="bottomLeft" activeCell="A3" sqref="A3"/>
      <selection pane="bottomRight" activeCell="AE120" sqref="AE120"/>
    </sheetView>
  </sheetViews>
  <sheetFormatPr baseColWidth="10" defaultColWidth="9.1640625" defaultRowHeight="14"/>
  <cols>
    <col min="1" max="1" width="8.1640625" style="77" hidden="1" customWidth="1"/>
    <col min="2" max="2" width="30.83203125" style="77" customWidth="1"/>
    <col min="3" max="3" width="1.5" style="77" customWidth="1"/>
    <col min="4" max="5" width="16.1640625" style="77" hidden="1" customWidth="1"/>
    <col min="6" max="6" width="15.5" style="77" hidden="1" customWidth="1"/>
    <col min="7" max="7" width="1.5" style="77" hidden="1" customWidth="1"/>
    <col min="8" max="8" width="17.5" style="77" hidden="1" customWidth="1"/>
    <col min="9" max="9" width="17.1640625" style="77" hidden="1" customWidth="1"/>
    <col min="10" max="10" width="13.5" style="77" hidden="1" customWidth="1"/>
    <col min="11" max="11" width="1.5" style="77" hidden="1" customWidth="1"/>
    <col min="12" max="12" width="17" style="77" hidden="1" customWidth="1"/>
    <col min="13" max="13" width="15.5" style="77" hidden="1" customWidth="1"/>
    <col min="14" max="14" width="14.83203125" style="77" hidden="1" customWidth="1"/>
    <col min="15" max="15" width="34.5" style="77" hidden="1" customWidth="1"/>
    <col min="16" max="16" width="1.1640625" style="77" hidden="1" customWidth="1"/>
    <col min="17" max="17" width="15.5" style="77" hidden="1" customWidth="1"/>
    <col min="18" max="18" width="15.1640625" style="77" hidden="1" customWidth="1"/>
    <col min="19" max="19" width="11.1640625" style="77" hidden="1" customWidth="1"/>
    <col min="20" max="20" width="18.5" style="77" hidden="1" customWidth="1"/>
    <col min="21" max="22" width="19.5" style="77" hidden="1" customWidth="1"/>
    <col min="23" max="23" width="33.5" style="77" hidden="1" customWidth="1"/>
    <col min="24" max="24" width="15.5" style="166" bestFit="1" customWidth="1"/>
    <col min="25" max="25" width="19.5" style="77" customWidth="1"/>
    <col min="26" max="26" width="10" style="77" bestFit="1" customWidth="1"/>
    <col min="27" max="27" width="33.1640625" style="166" hidden="1" customWidth="1"/>
    <col min="28" max="30" width="15.5" style="166" bestFit="1" customWidth="1"/>
    <col min="31" max="31" width="33.1640625" style="560" customWidth="1"/>
    <col min="32" max="16384" width="9.1640625" style="77"/>
  </cols>
  <sheetData>
    <row r="1" spans="1:31" s="68" customFormat="1" ht="30">
      <c r="A1" s="376" t="s">
        <v>538</v>
      </c>
      <c r="B1" s="63"/>
      <c r="C1" s="64"/>
      <c r="D1" s="65" t="s">
        <v>15</v>
      </c>
      <c r="E1" s="66" t="s">
        <v>16</v>
      </c>
      <c r="F1" s="66" t="s">
        <v>17</v>
      </c>
      <c r="G1" s="64"/>
      <c r="H1" s="65" t="s">
        <v>414</v>
      </c>
      <c r="I1" s="66" t="s">
        <v>413</v>
      </c>
      <c r="J1" s="66" t="s">
        <v>17</v>
      </c>
      <c r="K1" s="64"/>
      <c r="L1" s="65" t="s">
        <v>412</v>
      </c>
      <c r="M1" s="66" t="s">
        <v>415</v>
      </c>
      <c r="N1" s="276" t="s">
        <v>17</v>
      </c>
      <c r="O1" s="66" t="s">
        <v>18</v>
      </c>
      <c r="P1" s="64"/>
      <c r="Q1" s="65" t="s">
        <v>404</v>
      </c>
      <c r="R1" s="65" t="s">
        <v>209</v>
      </c>
      <c r="S1" s="65" t="s">
        <v>17</v>
      </c>
      <c r="T1" s="67" t="s">
        <v>378</v>
      </c>
      <c r="U1" s="319" t="s">
        <v>435</v>
      </c>
      <c r="V1" s="319" t="s">
        <v>527</v>
      </c>
      <c r="W1" s="67" t="s">
        <v>379</v>
      </c>
      <c r="X1" s="285" t="s">
        <v>537</v>
      </c>
      <c r="Y1" s="319" t="s">
        <v>550</v>
      </c>
      <c r="Z1" s="319" t="s">
        <v>17</v>
      </c>
      <c r="AA1" s="275" t="s">
        <v>437</v>
      </c>
      <c r="AB1" s="285" t="s">
        <v>551</v>
      </c>
      <c r="AC1" s="285" t="s">
        <v>671</v>
      </c>
      <c r="AD1" s="285" t="s">
        <v>663</v>
      </c>
      <c r="AE1" s="275" t="s">
        <v>593</v>
      </c>
    </row>
    <row r="2" spans="1:31">
      <c r="A2" s="69"/>
      <c r="B2" s="70" t="s">
        <v>0</v>
      </c>
      <c r="C2" s="71"/>
      <c r="D2" s="72"/>
      <c r="E2" s="72"/>
      <c r="F2" s="72"/>
      <c r="G2" s="73"/>
      <c r="H2" s="72"/>
      <c r="I2" s="72"/>
      <c r="J2" s="72"/>
      <c r="K2" s="73"/>
      <c r="L2" s="72"/>
      <c r="M2" s="72"/>
      <c r="N2" s="72"/>
      <c r="O2" s="72"/>
      <c r="P2" s="73"/>
      <c r="Q2" s="72"/>
      <c r="R2" s="74"/>
      <c r="S2" s="74"/>
      <c r="T2" s="62"/>
      <c r="U2" s="311"/>
      <c r="V2" s="311"/>
      <c r="W2" s="75"/>
      <c r="X2" s="286"/>
      <c r="Y2" s="311"/>
      <c r="Z2" s="311"/>
      <c r="AA2" s="76"/>
      <c r="AB2" s="286"/>
      <c r="AC2" s="286"/>
      <c r="AD2" s="286"/>
      <c r="AE2" s="545"/>
    </row>
    <row r="3" spans="1:31" ht="15">
      <c r="A3" s="69"/>
      <c r="B3" s="78" t="s">
        <v>1</v>
      </c>
      <c r="C3" s="73"/>
      <c r="D3" s="72">
        <v>716276.42</v>
      </c>
      <c r="E3" s="72">
        <v>715715</v>
      </c>
      <c r="F3" s="72">
        <f t="shared" ref="F3:F9" si="0">D3-E3</f>
        <v>561.42000000004191</v>
      </c>
      <c r="G3" s="73"/>
      <c r="H3" s="72">
        <v>727020.57</v>
      </c>
      <c r="I3" s="72">
        <v>731422</v>
      </c>
      <c r="J3" s="72">
        <f t="shared" ref="J3:J9" si="1">H3-I3</f>
        <v>-4401.4300000000512</v>
      </c>
      <c r="K3" s="73"/>
      <c r="L3" s="72">
        <f>(H3)+(H3*2%)</f>
        <v>741560.98139999993</v>
      </c>
      <c r="M3" s="72">
        <v>730106</v>
      </c>
      <c r="N3" s="72">
        <f>L3-M3</f>
        <v>11454.981399999931</v>
      </c>
      <c r="O3" s="72"/>
      <c r="P3" s="73"/>
      <c r="Q3" s="72">
        <v>763808</v>
      </c>
      <c r="R3" s="79">
        <v>764673</v>
      </c>
      <c r="S3" s="79">
        <f t="shared" ref="S3:S9" si="2">R3-Q3</f>
        <v>865</v>
      </c>
      <c r="T3" s="80" t="s">
        <v>19</v>
      </c>
      <c r="U3" s="312">
        <f>R3*0.96</f>
        <v>734086.08</v>
      </c>
      <c r="V3" s="313">
        <v>751994</v>
      </c>
      <c r="W3" s="75" t="s">
        <v>403</v>
      </c>
      <c r="X3" s="396">
        <f>(U3)+(U3*4%)</f>
        <v>763449.52319999994</v>
      </c>
      <c r="Y3" s="397">
        <v>759025</v>
      </c>
      <c r="Z3" s="397">
        <f>Y3-X3</f>
        <v>-4424.5231999999378</v>
      </c>
      <c r="AA3" s="80" t="s">
        <v>536</v>
      </c>
      <c r="AB3" s="396">
        <f>(X3)+(X3*0%)</f>
        <v>763449.52319999994</v>
      </c>
      <c r="AC3" s="396">
        <f>(X3)+(X3*2%)</f>
        <v>778718.51366399997</v>
      </c>
      <c r="AD3" s="396">
        <f>(X3)+(X3*5%)</f>
        <v>801621.9993599999</v>
      </c>
      <c r="AE3" s="546" t="s">
        <v>672</v>
      </c>
    </row>
    <row r="4" spans="1:31" ht="15">
      <c r="A4" s="69"/>
      <c r="B4" s="78" t="s">
        <v>2</v>
      </c>
      <c r="C4" s="73"/>
      <c r="D4" s="72">
        <v>1300</v>
      </c>
      <c r="E4" s="72">
        <v>1300</v>
      </c>
      <c r="F4" s="72">
        <f t="shared" si="0"/>
        <v>0</v>
      </c>
      <c r="G4" s="73"/>
      <c r="H4" s="72">
        <v>1300</v>
      </c>
      <c r="I4" s="72">
        <v>1300</v>
      </c>
      <c r="J4" s="72">
        <f t="shared" si="1"/>
        <v>0</v>
      </c>
      <c r="K4" s="73"/>
      <c r="L4" s="72">
        <v>1300</v>
      </c>
      <c r="M4" s="72">
        <v>1300</v>
      </c>
      <c r="N4" s="72">
        <f t="shared" ref="N4:N29" si="3">L4-M4</f>
        <v>0</v>
      </c>
      <c r="O4" s="72"/>
      <c r="P4" s="73"/>
      <c r="Q4" s="72">
        <v>1300</v>
      </c>
      <c r="R4" s="79">
        <v>1300</v>
      </c>
      <c r="S4" s="79">
        <f t="shared" si="2"/>
        <v>0</v>
      </c>
      <c r="T4" s="80" t="s">
        <v>381</v>
      </c>
      <c r="U4" s="314">
        <v>1300</v>
      </c>
      <c r="V4" s="314">
        <v>1300</v>
      </c>
      <c r="W4" s="75" t="s">
        <v>402</v>
      </c>
      <c r="X4" s="398">
        <v>1300</v>
      </c>
      <c r="Y4" s="399">
        <v>1300</v>
      </c>
      <c r="Z4" s="399">
        <f>Y4-X4</f>
        <v>0</v>
      </c>
      <c r="AA4" s="80" t="s">
        <v>381</v>
      </c>
      <c r="AB4" s="398">
        <v>1300</v>
      </c>
      <c r="AC4" s="398">
        <v>1300</v>
      </c>
      <c r="AD4" s="398">
        <v>1300</v>
      </c>
      <c r="AE4" s="546" t="s">
        <v>381</v>
      </c>
    </row>
    <row r="5" spans="1:31" ht="15">
      <c r="A5" s="69"/>
      <c r="B5" s="78" t="s">
        <v>3</v>
      </c>
      <c r="C5" s="73"/>
      <c r="D5" s="72">
        <v>500</v>
      </c>
      <c r="E5" s="72">
        <v>700</v>
      </c>
      <c r="F5" s="72">
        <f t="shared" si="0"/>
        <v>-200</v>
      </c>
      <c r="G5" s="73"/>
      <c r="H5" s="72">
        <v>500</v>
      </c>
      <c r="I5" s="72">
        <v>350</v>
      </c>
      <c r="J5" s="72">
        <f t="shared" si="1"/>
        <v>150</v>
      </c>
      <c r="K5" s="73"/>
      <c r="L5" s="72">
        <v>500</v>
      </c>
      <c r="M5" s="72">
        <v>550</v>
      </c>
      <c r="N5" s="72">
        <f t="shared" si="3"/>
        <v>-50</v>
      </c>
      <c r="O5" s="72"/>
      <c r="P5" s="73"/>
      <c r="Q5" s="72">
        <v>500</v>
      </c>
      <c r="R5" s="79">
        <v>700</v>
      </c>
      <c r="S5" s="79">
        <f t="shared" si="2"/>
        <v>200</v>
      </c>
      <c r="T5" s="80" t="s">
        <v>21</v>
      </c>
      <c r="U5" s="314">
        <v>500</v>
      </c>
      <c r="V5" s="314">
        <v>200</v>
      </c>
      <c r="W5" s="75" t="s">
        <v>402</v>
      </c>
      <c r="X5" s="398">
        <v>500</v>
      </c>
      <c r="Y5" s="399">
        <v>550</v>
      </c>
      <c r="Z5" s="399">
        <f t="shared" ref="Z5:Z10" si="4">Y5-X5</f>
        <v>50</v>
      </c>
      <c r="AA5" s="80" t="s">
        <v>21</v>
      </c>
      <c r="AB5" s="398">
        <v>500</v>
      </c>
      <c r="AC5" s="398">
        <v>500</v>
      </c>
      <c r="AD5" s="398">
        <v>500</v>
      </c>
      <c r="AE5" s="546" t="s">
        <v>21</v>
      </c>
    </row>
    <row r="6" spans="1:31" ht="15">
      <c r="A6" s="69"/>
      <c r="B6" s="78" t="s">
        <v>4</v>
      </c>
      <c r="C6" s="73"/>
      <c r="D6" s="72">
        <v>100</v>
      </c>
      <c r="E6" s="72">
        <v>60</v>
      </c>
      <c r="F6" s="72">
        <f t="shared" si="0"/>
        <v>40</v>
      </c>
      <c r="G6" s="73"/>
      <c r="H6" s="72">
        <v>100</v>
      </c>
      <c r="I6" s="72">
        <v>240</v>
      </c>
      <c r="J6" s="72">
        <f t="shared" si="1"/>
        <v>-140</v>
      </c>
      <c r="K6" s="73"/>
      <c r="L6" s="72">
        <v>100</v>
      </c>
      <c r="M6" s="72">
        <v>350</v>
      </c>
      <c r="N6" s="72">
        <f t="shared" si="3"/>
        <v>-250</v>
      </c>
      <c r="O6" s="72"/>
      <c r="P6" s="73"/>
      <c r="Q6" s="72">
        <v>200</v>
      </c>
      <c r="R6" s="79">
        <v>630</v>
      </c>
      <c r="S6" s="79">
        <f t="shared" si="2"/>
        <v>430</v>
      </c>
      <c r="T6" s="80" t="s">
        <v>22</v>
      </c>
      <c r="U6" s="314">
        <v>200</v>
      </c>
      <c r="V6" s="314">
        <v>560</v>
      </c>
      <c r="W6" s="75" t="s">
        <v>402</v>
      </c>
      <c r="X6" s="398">
        <v>300</v>
      </c>
      <c r="Y6" s="399">
        <v>680</v>
      </c>
      <c r="Z6" s="399">
        <f t="shared" si="4"/>
        <v>380</v>
      </c>
      <c r="AA6" s="80" t="s">
        <v>22</v>
      </c>
      <c r="AB6" s="398">
        <v>300</v>
      </c>
      <c r="AC6" s="398">
        <v>300</v>
      </c>
      <c r="AD6" s="398">
        <v>300</v>
      </c>
      <c r="AE6" s="546" t="s">
        <v>22</v>
      </c>
    </row>
    <row r="7" spans="1:31" ht="15">
      <c r="A7" s="69"/>
      <c r="B7" s="78" t="s">
        <v>5</v>
      </c>
      <c r="C7" s="73"/>
      <c r="D7" s="72">
        <v>5000</v>
      </c>
      <c r="E7" s="72">
        <v>3589</v>
      </c>
      <c r="F7" s="72">
        <f t="shared" si="0"/>
        <v>1411</v>
      </c>
      <c r="G7" s="73"/>
      <c r="H7" s="72">
        <v>5000</v>
      </c>
      <c r="I7" s="72">
        <v>7126</v>
      </c>
      <c r="J7" s="72">
        <f t="shared" si="1"/>
        <v>-2126</v>
      </c>
      <c r="K7" s="73"/>
      <c r="L7" s="72">
        <v>5000</v>
      </c>
      <c r="M7" s="72">
        <v>6160</v>
      </c>
      <c r="N7" s="72">
        <f t="shared" si="3"/>
        <v>-1160</v>
      </c>
      <c r="O7" s="72"/>
      <c r="P7" s="73"/>
      <c r="Q7" s="72">
        <v>5200</v>
      </c>
      <c r="R7" s="79">
        <v>11662</v>
      </c>
      <c r="S7" s="79">
        <f t="shared" si="2"/>
        <v>6462</v>
      </c>
      <c r="T7" s="80" t="s">
        <v>23</v>
      </c>
      <c r="U7" s="315">
        <f>850*12</f>
        <v>10200</v>
      </c>
      <c r="V7" s="315">
        <v>14868</v>
      </c>
      <c r="W7" s="81" t="s">
        <v>401</v>
      </c>
      <c r="X7" s="398">
        <v>15000</v>
      </c>
      <c r="Y7" s="400">
        <v>15193</v>
      </c>
      <c r="Z7" s="399">
        <f t="shared" si="4"/>
        <v>193</v>
      </c>
      <c r="AA7" s="80" t="s">
        <v>23</v>
      </c>
      <c r="AB7" s="398">
        <v>4500</v>
      </c>
      <c r="AC7" s="398">
        <v>4500</v>
      </c>
      <c r="AD7" s="398">
        <v>4500</v>
      </c>
      <c r="AE7" s="546" t="s">
        <v>23</v>
      </c>
    </row>
    <row r="8" spans="1:31">
      <c r="A8" s="69"/>
      <c r="B8" s="78" t="s">
        <v>6</v>
      </c>
      <c r="C8" s="73"/>
      <c r="D8" s="72">
        <v>500</v>
      </c>
      <c r="E8" s="72">
        <v>274</v>
      </c>
      <c r="F8" s="72">
        <f t="shared" si="0"/>
        <v>226</v>
      </c>
      <c r="G8" s="73"/>
      <c r="H8" s="72">
        <v>500</v>
      </c>
      <c r="I8" s="72">
        <v>322</v>
      </c>
      <c r="J8" s="72">
        <f t="shared" si="1"/>
        <v>178</v>
      </c>
      <c r="K8" s="73"/>
      <c r="L8" s="72">
        <v>500</v>
      </c>
      <c r="M8" s="72">
        <v>337</v>
      </c>
      <c r="N8" s="72">
        <f t="shared" si="3"/>
        <v>163</v>
      </c>
      <c r="O8" s="72"/>
      <c r="P8" s="73"/>
      <c r="Q8" s="72">
        <v>500</v>
      </c>
      <c r="R8" s="79">
        <v>298</v>
      </c>
      <c r="S8" s="79">
        <f t="shared" si="2"/>
        <v>-202</v>
      </c>
      <c r="T8" s="62"/>
      <c r="U8" s="315">
        <f>R8</f>
        <v>298</v>
      </c>
      <c r="V8" s="315">
        <v>165</v>
      </c>
      <c r="W8" s="75" t="s">
        <v>402</v>
      </c>
      <c r="X8" s="398">
        <v>200</v>
      </c>
      <c r="Y8" s="400">
        <v>238</v>
      </c>
      <c r="Z8" s="399">
        <f t="shared" si="4"/>
        <v>38</v>
      </c>
      <c r="AA8" s="62"/>
      <c r="AB8" s="398">
        <v>200</v>
      </c>
      <c r="AC8" s="398">
        <v>200</v>
      </c>
      <c r="AD8" s="398">
        <v>200</v>
      </c>
      <c r="AE8" s="547"/>
    </row>
    <row r="9" spans="1:31" ht="15">
      <c r="A9" s="69"/>
      <c r="B9" s="78" t="s">
        <v>7</v>
      </c>
      <c r="C9" s="73"/>
      <c r="D9" s="72">
        <v>6184</v>
      </c>
      <c r="E9" s="72">
        <v>6184</v>
      </c>
      <c r="F9" s="72">
        <f t="shared" si="0"/>
        <v>0</v>
      </c>
      <c r="G9" s="73"/>
      <c r="H9" s="72">
        <v>6184</v>
      </c>
      <c r="I9" s="72">
        <v>6184</v>
      </c>
      <c r="J9" s="72">
        <f t="shared" si="1"/>
        <v>0</v>
      </c>
      <c r="K9" s="73"/>
      <c r="L9" s="72">
        <v>6184</v>
      </c>
      <c r="M9" s="72">
        <v>6184</v>
      </c>
      <c r="N9" s="72">
        <f t="shared" si="3"/>
        <v>0</v>
      </c>
      <c r="O9" s="72"/>
      <c r="P9" s="73"/>
      <c r="Q9" s="72">
        <v>6184</v>
      </c>
      <c r="R9" s="79">
        <v>6184</v>
      </c>
      <c r="S9" s="79">
        <f t="shared" si="2"/>
        <v>0</v>
      </c>
      <c r="T9" s="80" t="s">
        <v>24</v>
      </c>
      <c r="U9" s="315">
        <f>R9</f>
        <v>6184</v>
      </c>
      <c r="V9" s="315">
        <v>6184</v>
      </c>
      <c r="W9" s="75" t="s">
        <v>402</v>
      </c>
      <c r="X9" s="398">
        <v>6184</v>
      </c>
      <c r="Y9" s="400">
        <v>6184</v>
      </c>
      <c r="Z9" s="399">
        <f t="shared" si="4"/>
        <v>0</v>
      </c>
      <c r="AA9" s="80" t="s">
        <v>24</v>
      </c>
      <c r="AB9" s="398">
        <v>6184</v>
      </c>
      <c r="AC9" s="398">
        <v>6184</v>
      </c>
      <c r="AD9" s="398">
        <v>6184</v>
      </c>
      <c r="AE9" s="546" t="s">
        <v>24</v>
      </c>
    </row>
    <row r="10" spans="1:31">
      <c r="A10" s="69"/>
      <c r="B10" s="82" t="s">
        <v>425</v>
      </c>
      <c r="C10" s="83"/>
      <c r="D10" s="84"/>
      <c r="E10" s="84"/>
      <c r="F10" s="84"/>
      <c r="G10" s="83"/>
      <c r="H10" s="84"/>
      <c r="I10" s="84"/>
      <c r="J10" s="84"/>
      <c r="K10" s="83"/>
      <c r="L10" s="84"/>
      <c r="M10" s="84"/>
      <c r="N10" s="84"/>
      <c r="O10" s="84"/>
      <c r="P10" s="83"/>
      <c r="Q10" s="84"/>
      <c r="R10" s="85"/>
      <c r="S10" s="85"/>
      <c r="T10" s="86"/>
      <c r="U10" s="316"/>
      <c r="V10" s="316"/>
      <c r="W10" s="87"/>
      <c r="X10" s="398"/>
      <c r="Y10" s="401">
        <v>26078</v>
      </c>
      <c r="Z10" s="399">
        <f t="shared" si="4"/>
        <v>26078</v>
      </c>
      <c r="AA10" s="76"/>
      <c r="AB10" s="398"/>
      <c r="AC10" s="398"/>
      <c r="AD10" s="398"/>
      <c r="AE10" s="545"/>
    </row>
    <row r="11" spans="1:31" ht="15" thickBot="1">
      <c r="A11" s="69"/>
      <c r="B11" s="88" t="s">
        <v>426</v>
      </c>
      <c r="C11" s="83"/>
      <c r="D11" s="84"/>
      <c r="E11" s="84"/>
      <c r="F11" s="84"/>
      <c r="G11" s="83"/>
      <c r="H11" s="84"/>
      <c r="I11" s="84"/>
      <c r="J11" s="84"/>
      <c r="K11" s="83"/>
      <c r="L11" s="84"/>
      <c r="M11" s="84"/>
      <c r="N11" s="84">
        <f t="shared" si="3"/>
        <v>0</v>
      </c>
      <c r="O11" s="84"/>
      <c r="P11" s="83"/>
      <c r="Q11" s="84"/>
      <c r="R11" s="85"/>
      <c r="S11" s="85"/>
      <c r="T11" s="89"/>
      <c r="U11" s="317"/>
      <c r="V11" s="317"/>
      <c r="W11" s="87"/>
      <c r="X11" s="398"/>
      <c r="Y11" s="402"/>
      <c r="Z11" s="402"/>
      <c r="AA11" s="76"/>
      <c r="AB11" s="398"/>
      <c r="AC11" s="398"/>
      <c r="AD11" s="398"/>
      <c r="AE11" s="545"/>
    </row>
    <row r="12" spans="1:31" s="100" customFormat="1" ht="17" thickTop="1" thickBot="1">
      <c r="A12" s="90"/>
      <c r="B12" s="91" t="s">
        <v>8</v>
      </c>
      <c r="C12" s="92"/>
      <c r="D12" s="93">
        <v>729860.42</v>
      </c>
      <c r="E12" s="93">
        <f>SUM(E3:E9)</f>
        <v>727822</v>
      </c>
      <c r="F12" s="321">
        <f>D12-E12</f>
        <v>2038.4200000000419</v>
      </c>
      <c r="G12" s="94"/>
      <c r="H12" s="93">
        <f>SUM(H3:H11)</f>
        <v>740604.57</v>
      </c>
      <c r="I12" s="93">
        <f>SUM(I3:I11)</f>
        <v>746944</v>
      </c>
      <c r="J12" s="321">
        <f>H12-I12</f>
        <v>-6339.4300000000512</v>
      </c>
      <c r="K12" s="94"/>
      <c r="L12" s="93">
        <f>SUM(L3:L11)</f>
        <v>755144.98139999993</v>
      </c>
      <c r="M12" s="93">
        <f>SUM(M3:M9)</f>
        <v>744987</v>
      </c>
      <c r="N12" s="277">
        <f t="shared" si="3"/>
        <v>10157.981399999931</v>
      </c>
      <c r="O12" s="95"/>
      <c r="P12" s="94"/>
      <c r="Q12" s="93">
        <f>SUM(Q3:Q11)</f>
        <v>777692</v>
      </c>
      <c r="R12" s="96">
        <f>+SUM(R3:R9)</f>
        <v>785447</v>
      </c>
      <c r="S12" s="280">
        <f>R12-Q12</f>
        <v>7755</v>
      </c>
      <c r="T12" s="97"/>
      <c r="U12" s="318">
        <f>SUM(U3:U11)</f>
        <v>752768.08</v>
      </c>
      <c r="V12" s="318">
        <f>SUM(V3:V11)</f>
        <v>775271</v>
      </c>
      <c r="W12" s="98"/>
      <c r="X12" s="403">
        <f>SUM(X3:X11)</f>
        <v>786933.52319999994</v>
      </c>
      <c r="Y12" s="404">
        <f>SUM(Y3:Y11)</f>
        <v>809248</v>
      </c>
      <c r="Z12" s="404">
        <f>SUM(Z3:Z11)</f>
        <v>22314.476800000062</v>
      </c>
      <c r="AA12" s="99"/>
      <c r="AB12" s="403">
        <f>SUM(AB3:AB11)</f>
        <v>776433.52319999994</v>
      </c>
      <c r="AC12" s="403">
        <f>SUM(AC3:AC11)</f>
        <v>791702.51366399997</v>
      </c>
      <c r="AD12" s="403">
        <f>SUM(AD3:AD11)</f>
        <v>814605.9993599999</v>
      </c>
      <c r="AE12" s="548"/>
    </row>
    <row r="13" spans="1:31" ht="15" thickTop="1">
      <c r="A13" s="69"/>
      <c r="B13" s="101"/>
      <c r="C13" s="102"/>
      <c r="D13" s="101"/>
      <c r="E13" s="101"/>
      <c r="F13" s="101"/>
      <c r="G13" s="102"/>
      <c r="H13" s="101"/>
      <c r="I13" s="101"/>
      <c r="J13" s="101"/>
      <c r="K13" s="102"/>
      <c r="L13" s="101"/>
      <c r="M13" s="101"/>
      <c r="N13" s="278"/>
      <c r="O13" s="101"/>
      <c r="P13" s="102"/>
      <c r="Q13" s="101"/>
      <c r="R13" s="103"/>
      <c r="S13" s="103"/>
      <c r="T13" s="104"/>
      <c r="U13" s="298"/>
      <c r="V13" s="298"/>
      <c r="W13" s="104"/>
      <c r="X13" s="398"/>
      <c r="Y13" s="405"/>
      <c r="Z13" s="405"/>
      <c r="AA13" s="105"/>
      <c r="AB13" s="398"/>
      <c r="AC13" s="398"/>
      <c r="AD13" s="398"/>
      <c r="AE13" s="549"/>
    </row>
    <row r="14" spans="1:31">
      <c r="A14" s="69"/>
      <c r="B14" s="106" t="s">
        <v>9</v>
      </c>
      <c r="C14" s="71"/>
      <c r="D14" s="107"/>
      <c r="E14" s="107"/>
      <c r="F14" s="107"/>
      <c r="G14" s="73"/>
      <c r="H14" s="107"/>
      <c r="I14" s="107"/>
      <c r="J14" s="107"/>
      <c r="K14" s="73"/>
      <c r="L14" s="107"/>
      <c r="M14" s="107"/>
      <c r="N14" s="153"/>
      <c r="O14" s="107"/>
      <c r="P14" s="73"/>
      <c r="Q14" s="107"/>
      <c r="R14" s="108"/>
      <c r="S14" s="108"/>
      <c r="T14" s="110"/>
      <c r="U14" s="178"/>
      <c r="V14" s="178"/>
      <c r="W14" s="110"/>
      <c r="X14" s="398"/>
      <c r="Y14" s="406"/>
      <c r="Z14" s="406"/>
      <c r="AA14" s="105"/>
      <c r="AB14" s="398"/>
      <c r="AC14" s="398"/>
      <c r="AD14" s="398"/>
      <c r="AE14" s="549"/>
    </row>
    <row r="15" spans="1:31">
      <c r="A15" s="69"/>
      <c r="B15" s="107"/>
      <c r="C15" s="73"/>
      <c r="D15" s="107"/>
      <c r="E15" s="107"/>
      <c r="F15" s="107"/>
      <c r="G15" s="73"/>
      <c r="H15" s="107"/>
      <c r="I15" s="107"/>
      <c r="J15" s="107"/>
      <c r="K15" s="73"/>
      <c r="L15" s="107"/>
      <c r="M15" s="107"/>
      <c r="N15" s="153"/>
      <c r="O15" s="107"/>
      <c r="P15" s="73"/>
      <c r="Q15" s="107"/>
      <c r="R15" s="108"/>
      <c r="S15" s="108"/>
      <c r="T15" s="110"/>
      <c r="U15" s="178"/>
      <c r="V15" s="178"/>
      <c r="W15" s="110"/>
      <c r="X15" s="398"/>
      <c r="Y15" s="406"/>
      <c r="Z15" s="406"/>
      <c r="AA15" s="105"/>
      <c r="AB15" s="398"/>
      <c r="AC15" s="398"/>
      <c r="AD15" s="398"/>
      <c r="AE15" s="549"/>
    </row>
    <row r="16" spans="1:31">
      <c r="A16" s="69"/>
      <c r="B16" s="106" t="s">
        <v>25</v>
      </c>
      <c r="C16" s="71"/>
      <c r="D16" s="107"/>
      <c r="E16" s="107"/>
      <c r="F16" s="107"/>
      <c r="G16" s="73"/>
      <c r="H16" s="107"/>
      <c r="I16" s="107"/>
      <c r="J16" s="107"/>
      <c r="K16" s="73"/>
      <c r="L16" s="107"/>
      <c r="M16" s="107"/>
      <c r="N16" s="153"/>
      <c r="O16" s="107"/>
      <c r="P16" s="73"/>
      <c r="Q16" s="107"/>
      <c r="R16" s="108"/>
      <c r="S16" s="108"/>
      <c r="T16" s="110"/>
      <c r="U16" s="178"/>
      <c r="V16" s="178"/>
      <c r="W16" s="110"/>
      <c r="X16" s="398"/>
      <c r="Y16" s="406"/>
      <c r="Z16" s="406"/>
      <c r="AA16" s="105"/>
      <c r="AB16" s="398"/>
      <c r="AC16" s="398"/>
      <c r="AD16" s="398"/>
      <c r="AE16" s="549"/>
    </row>
    <row r="17" spans="1:31" ht="15">
      <c r="A17" s="111">
        <v>61020</v>
      </c>
      <c r="B17" s="112" t="s">
        <v>236</v>
      </c>
      <c r="C17" s="73"/>
      <c r="D17" s="113">
        <v>173000</v>
      </c>
      <c r="E17" s="113">
        <v>172905</v>
      </c>
      <c r="F17" s="113">
        <f t="shared" ref="F17:F29" si="5">D17-E17</f>
        <v>95</v>
      </c>
      <c r="G17" s="73"/>
      <c r="H17" s="113">
        <v>173000</v>
      </c>
      <c r="I17" s="113">
        <v>172905</v>
      </c>
      <c r="J17" s="113">
        <f t="shared" ref="J17:J29" si="6">H17-I17</f>
        <v>95</v>
      </c>
      <c r="K17" s="73"/>
      <c r="L17" s="113">
        <v>173000</v>
      </c>
      <c r="M17" s="113">
        <v>150351</v>
      </c>
      <c r="N17" s="113">
        <f t="shared" si="3"/>
        <v>22649</v>
      </c>
      <c r="O17" s="113"/>
      <c r="P17" s="73"/>
      <c r="Q17" s="113">
        <v>133792</v>
      </c>
      <c r="R17" s="114">
        <v>74867</v>
      </c>
      <c r="S17" s="310">
        <f t="shared" ref="S17:S29" si="7">R17-Q17</f>
        <v>-58925</v>
      </c>
      <c r="T17" s="116" t="s">
        <v>43</v>
      </c>
      <c r="U17" s="307">
        <v>75000</v>
      </c>
      <c r="V17" s="307">
        <v>72122</v>
      </c>
      <c r="W17" s="117"/>
      <c r="X17" s="398">
        <v>73000</v>
      </c>
      <c r="Y17" s="407">
        <v>69425</v>
      </c>
      <c r="Z17" s="407">
        <f>X17-Y17</f>
        <v>3575</v>
      </c>
      <c r="AA17" s="116" t="s">
        <v>43</v>
      </c>
      <c r="AB17" s="398">
        <v>74870</v>
      </c>
      <c r="AC17" s="398">
        <v>74870</v>
      </c>
      <c r="AD17" s="398">
        <v>74870</v>
      </c>
      <c r="AE17" s="373" t="s">
        <v>43</v>
      </c>
    </row>
    <row r="18" spans="1:31" ht="30">
      <c r="A18" s="111">
        <v>61050</v>
      </c>
      <c r="B18" s="112" t="s">
        <v>27</v>
      </c>
      <c r="C18" s="73"/>
      <c r="D18" s="113">
        <v>73700</v>
      </c>
      <c r="E18" s="113">
        <v>75505</v>
      </c>
      <c r="F18" s="113">
        <f t="shared" si="5"/>
        <v>-1805</v>
      </c>
      <c r="G18" s="73"/>
      <c r="H18" s="113">
        <v>76000</v>
      </c>
      <c r="I18" s="113">
        <v>75847</v>
      </c>
      <c r="J18" s="113">
        <f t="shared" si="6"/>
        <v>153</v>
      </c>
      <c r="K18" s="73"/>
      <c r="L18" s="113">
        <v>76000</v>
      </c>
      <c r="M18" s="113">
        <v>76987</v>
      </c>
      <c r="N18" s="113">
        <f t="shared" si="3"/>
        <v>-987</v>
      </c>
      <c r="O18" s="113"/>
      <c r="P18" s="73"/>
      <c r="Q18" s="113">
        <v>76000</v>
      </c>
      <c r="R18" s="114">
        <v>57624</v>
      </c>
      <c r="S18" s="310">
        <f t="shared" si="7"/>
        <v>-18376</v>
      </c>
      <c r="T18" s="116" t="s">
        <v>37</v>
      </c>
      <c r="U18" s="307">
        <f>64647.86</f>
        <v>64647.86</v>
      </c>
      <c r="V18" s="307">
        <v>64648</v>
      </c>
      <c r="W18" s="374" t="s">
        <v>433</v>
      </c>
      <c r="X18" s="398">
        <v>62117.06</v>
      </c>
      <c r="Y18" s="407">
        <v>61135</v>
      </c>
      <c r="Z18" s="407">
        <f t="shared" ref="Z18:Z28" si="8">X18-Y18</f>
        <v>982.05999999999767</v>
      </c>
      <c r="AA18" s="373" t="s">
        <v>530</v>
      </c>
      <c r="AB18" s="398">
        <v>62000</v>
      </c>
      <c r="AC18" s="398">
        <v>62000</v>
      </c>
      <c r="AD18" s="398">
        <v>62000</v>
      </c>
      <c r="AE18" s="373" t="s">
        <v>530</v>
      </c>
    </row>
    <row r="19" spans="1:31" ht="15">
      <c r="A19" s="111">
        <v>61025</v>
      </c>
      <c r="B19" s="112" t="s">
        <v>29</v>
      </c>
      <c r="C19" s="73"/>
      <c r="D19" s="113">
        <v>17000</v>
      </c>
      <c r="E19" s="113">
        <v>17000</v>
      </c>
      <c r="F19" s="113">
        <f t="shared" si="5"/>
        <v>0</v>
      </c>
      <c r="G19" s="73"/>
      <c r="H19" s="113">
        <v>17000</v>
      </c>
      <c r="I19" s="113">
        <v>17000</v>
      </c>
      <c r="J19" s="113">
        <f t="shared" si="6"/>
        <v>0</v>
      </c>
      <c r="K19" s="73"/>
      <c r="L19" s="113">
        <v>17000</v>
      </c>
      <c r="M19" s="113">
        <v>17000</v>
      </c>
      <c r="N19" s="113">
        <f t="shared" si="3"/>
        <v>0</v>
      </c>
      <c r="O19" s="113"/>
      <c r="P19" s="73"/>
      <c r="Q19" s="113">
        <v>17000</v>
      </c>
      <c r="R19" s="114">
        <v>17000</v>
      </c>
      <c r="S19" s="310">
        <f t="shared" si="7"/>
        <v>0</v>
      </c>
      <c r="T19" s="116" t="s">
        <v>380</v>
      </c>
      <c r="U19" s="307">
        <v>17000</v>
      </c>
      <c r="V19" s="307">
        <v>17000</v>
      </c>
      <c r="W19" s="117"/>
      <c r="X19" s="398">
        <v>17000</v>
      </c>
      <c r="Y19" s="407">
        <v>17000</v>
      </c>
      <c r="Z19" s="407">
        <f t="shared" si="8"/>
        <v>0</v>
      </c>
      <c r="AA19" s="116" t="s">
        <v>380</v>
      </c>
      <c r="AB19" s="398">
        <v>17000</v>
      </c>
      <c r="AC19" s="398">
        <v>17000</v>
      </c>
      <c r="AD19" s="398">
        <v>17000</v>
      </c>
      <c r="AE19" s="373" t="s">
        <v>380</v>
      </c>
    </row>
    <row r="20" spans="1:31" ht="15">
      <c r="A20" s="111">
        <v>61040</v>
      </c>
      <c r="B20" s="112" t="s">
        <v>31</v>
      </c>
      <c r="C20" s="73"/>
      <c r="D20" s="113">
        <v>6000</v>
      </c>
      <c r="E20" s="113">
        <v>6000</v>
      </c>
      <c r="F20" s="113">
        <f t="shared" si="5"/>
        <v>0</v>
      </c>
      <c r="G20" s="73"/>
      <c r="H20" s="113">
        <v>6000</v>
      </c>
      <c r="I20" s="113">
        <v>6000</v>
      </c>
      <c r="J20" s="113">
        <f t="shared" si="6"/>
        <v>0</v>
      </c>
      <c r="K20" s="73"/>
      <c r="L20" s="113">
        <v>6000</v>
      </c>
      <c r="M20" s="113">
        <v>6000</v>
      </c>
      <c r="N20" s="113">
        <f t="shared" si="3"/>
        <v>0</v>
      </c>
      <c r="O20" s="113"/>
      <c r="P20" s="73"/>
      <c r="Q20" s="113">
        <v>6000</v>
      </c>
      <c r="R20" s="114">
        <v>6000</v>
      </c>
      <c r="S20" s="310">
        <f t="shared" si="7"/>
        <v>0</v>
      </c>
      <c r="T20" s="116" t="s">
        <v>28</v>
      </c>
      <c r="U20" s="307">
        <v>6000</v>
      </c>
      <c r="V20" s="307">
        <v>6000</v>
      </c>
      <c r="W20" s="117"/>
      <c r="X20" s="398">
        <v>6000</v>
      </c>
      <c r="Y20" s="407">
        <v>6000</v>
      </c>
      <c r="Z20" s="407">
        <f t="shared" si="8"/>
        <v>0</v>
      </c>
      <c r="AA20" s="116" t="s">
        <v>28</v>
      </c>
      <c r="AB20" s="398">
        <v>6000</v>
      </c>
      <c r="AC20" s="398">
        <v>6000</v>
      </c>
      <c r="AD20" s="398">
        <v>6000</v>
      </c>
      <c r="AE20" s="373" t="s">
        <v>28</v>
      </c>
    </row>
    <row r="21" spans="1:31" ht="15">
      <c r="A21" s="111">
        <v>61045</v>
      </c>
      <c r="B21" s="112" t="s">
        <v>33</v>
      </c>
      <c r="C21" s="73"/>
      <c r="D21" s="113">
        <v>3504</v>
      </c>
      <c r="E21" s="113">
        <v>3504</v>
      </c>
      <c r="F21" s="113">
        <f t="shared" si="5"/>
        <v>0</v>
      </c>
      <c r="G21" s="73"/>
      <c r="H21" s="113">
        <v>3504</v>
      </c>
      <c r="I21" s="113">
        <v>3504</v>
      </c>
      <c r="J21" s="113">
        <f t="shared" si="6"/>
        <v>0</v>
      </c>
      <c r="K21" s="73"/>
      <c r="L21" s="113">
        <v>3504</v>
      </c>
      <c r="M21" s="113">
        <v>3504</v>
      </c>
      <c r="N21" s="113">
        <f t="shared" si="3"/>
        <v>0</v>
      </c>
      <c r="O21" s="113"/>
      <c r="P21" s="73"/>
      <c r="Q21" s="113">
        <v>3504</v>
      </c>
      <c r="R21" s="114">
        <v>3504</v>
      </c>
      <c r="S21" s="310">
        <f t="shared" si="7"/>
        <v>0</v>
      </c>
      <c r="T21" s="116" t="s">
        <v>380</v>
      </c>
      <c r="U21" s="307">
        <v>3504</v>
      </c>
      <c r="V21" s="307">
        <v>3504</v>
      </c>
      <c r="W21" s="117"/>
      <c r="X21" s="398">
        <v>3504</v>
      </c>
      <c r="Y21" s="407">
        <v>3504</v>
      </c>
      <c r="Z21" s="407">
        <f t="shared" si="8"/>
        <v>0</v>
      </c>
      <c r="AA21" s="116" t="s">
        <v>380</v>
      </c>
      <c r="AB21" s="398">
        <v>3504</v>
      </c>
      <c r="AC21" s="398">
        <v>3504</v>
      </c>
      <c r="AD21" s="398">
        <v>3504</v>
      </c>
      <c r="AE21" s="373" t="s">
        <v>380</v>
      </c>
    </row>
    <row r="22" spans="1:31" ht="15">
      <c r="A22" s="111">
        <v>61035</v>
      </c>
      <c r="B22" s="112" t="s">
        <v>34</v>
      </c>
      <c r="C22" s="73"/>
      <c r="D22" s="113">
        <v>27000</v>
      </c>
      <c r="E22" s="113">
        <v>24134</v>
      </c>
      <c r="F22" s="113">
        <f t="shared" si="5"/>
        <v>2866</v>
      </c>
      <c r="G22" s="73"/>
      <c r="H22" s="113">
        <v>27000</v>
      </c>
      <c r="I22" s="113">
        <v>25036</v>
      </c>
      <c r="J22" s="113">
        <f t="shared" si="6"/>
        <v>1964</v>
      </c>
      <c r="K22" s="73"/>
      <c r="L22" s="113">
        <v>27000</v>
      </c>
      <c r="M22" s="113">
        <v>30008</v>
      </c>
      <c r="N22" s="113">
        <f t="shared" si="3"/>
        <v>-3008</v>
      </c>
      <c r="O22" s="113"/>
      <c r="P22" s="73"/>
      <c r="Q22" s="113">
        <v>27000</v>
      </c>
      <c r="R22" s="114">
        <v>21437</v>
      </c>
      <c r="S22" s="310">
        <f t="shared" si="7"/>
        <v>-5563</v>
      </c>
      <c r="T22" s="116" t="s">
        <v>88</v>
      </c>
      <c r="U22" s="309">
        <f>$R$22*1.13</f>
        <v>24223.809999999998</v>
      </c>
      <c r="V22" s="377">
        <v>14643</v>
      </c>
      <c r="W22" s="117" t="s">
        <v>405</v>
      </c>
      <c r="X22" s="398">
        <v>15000</v>
      </c>
      <c r="Y22" s="408">
        <v>19155</v>
      </c>
      <c r="Z22" s="407">
        <f t="shared" si="8"/>
        <v>-4155</v>
      </c>
      <c r="AA22" s="116" t="s">
        <v>88</v>
      </c>
      <c r="AB22" s="398">
        <v>22000</v>
      </c>
      <c r="AC22" s="398">
        <v>22000</v>
      </c>
      <c r="AD22" s="398">
        <v>22000</v>
      </c>
      <c r="AE22" s="373" t="s">
        <v>88</v>
      </c>
    </row>
    <row r="23" spans="1:31" ht="15">
      <c r="A23" s="111">
        <v>61030</v>
      </c>
      <c r="B23" s="112" t="s">
        <v>36</v>
      </c>
      <c r="C23" s="73"/>
      <c r="D23" s="113">
        <v>4000</v>
      </c>
      <c r="E23" s="113">
        <v>3590</v>
      </c>
      <c r="F23" s="113">
        <f t="shared" si="5"/>
        <v>410</v>
      </c>
      <c r="G23" s="73"/>
      <c r="H23" s="113">
        <v>4000</v>
      </c>
      <c r="I23" s="113">
        <v>3836</v>
      </c>
      <c r="J23" s="113">
        <f t="shared" si="6"/>
        <v>164</v>
      </c>
      <c r="K23" s="73"/>
      <c r="L23" s="113">
        <v>4000</v>
      </c>
      <c r="M23" s="113">
        <v>-6842</v>
      </c>
      <c r="N23" s="113">
        <f t="shared" si="3"/>
        <v>10842</v>
      </c>
      <c r="O23" s="113"/>
      <c r="P23" s="73"/>
      <c r="Q23" s="113">
        <v>4000</v>
      </c>
      <c r="R23" s="114">
        <v>2664</v>
      </c>
      <c r="S23" s="310">
        <f t="shared" si="7"/>
        <v>-1336</v>
      </c>
      <c r="T23" s="116" t="s">
        <v>26</v>
      </c>
      <c r="U23" s="307">
        <v>3000</v>
      </c>
      <c r="V23" s="307">
        <v>2780</v>
      </c>
      <c r="W23" s="117"/>
      <c r="X23" s="398">
        <v>3000</v>
      </c>
      <c r="Y23" s="407">
        <v>2537</v>
      </c>
      <c r="Z23" s="407">
        <f t="shared" si="8"/>
        <v>463</v>
      </c>
      <c r="AA23" s="373" t="s">
        <v>26</v>
      </c>
      <c r="AB23" s="398">
        <v>2800</v>
      </c>
      <c r="AC23" s="398">
        <v>2800</v>
      </c>
      <c r="AD23" s="398">
        <v>2800</v>
      </c>
      <c r="AE23" s="373" t="s">
        <v>26</v>
      </c>
    </row>
    <row r="24" spans="1:31" ht="15">
      <c r="A24" s="111">
        <v>61055</v>
      </c>
      <c r="B24" s="112" t="s">
        <v>38</v>
      </c>
      <c r="C24" s="73"/>
      <c r="D24" s="113">
        <v>35000</v>
      </c>
      <c r="E24" s="113">
        <v>42885</v>
      </c>
      <c r="F24" s="113">
        <f t="shared" si="5"/>
        <v>-7885</v>
      </c>
      <c r="G24" s="73"/>
      <c r="H24" s="113">
        <v>43000</v>
      </c>
      <c r="I24" s="113">
        <v>47123</v>
      </c>
      <c r="J24" s="113">
        <f t="shared" si="6"/>
        <v>-4123</v>
      </c>
      <c r="K24" s="73"/>
      <c r="L24" s="113">
        <v>45000</v>
      </c>
      <c r="M24" s="113">
        <v>22207</v>
      </c>
      <c r="N24" s="113">
        <f t="shared" si="3"/>
        <v>22793</v>
      </c>
      <c r="O24" s="113"/>
      <c r="P24" s="73"/>
      <c r="Q24" s="113">
        <v>45000</v>
      </c>
      <c r="R24" s="114">
        <v>41041</v>
      </c>
      <c r="S24" s="310">
        <f t="shared" si="7"/>
        <v>-3959</v>
      </c>
      <c r="T24" s="116" t="s">
        <v>26</v>
      </c>
      <c r="U24" s="307">
        <v>45000</v>
      </c>
      <c r="V24" s="307">
        <v>44430</v>
      </c>
      <c r="W24" s="117"/>
      <c r="X24" s="398">
        <v>45000</v>
      </c>
      <c r="Y24" s="407">
        <v>45806</v>
      </c>
      <c r="Z24" s="407">
        <f t="shared" si="8"/>
        <v>-806</v>
      </c>
      <c r="AA24" s="116" t="s">
        <v>26</v>
      </c>
      <c r="AB24" s="398">
        <v>46000</v>
      </c>
      <c r="AC24" s="398">
        <v>46000</v>
      </c>
      <c r="AD24" s="398">
        <v>46000</v>
      </c>
      <c r="AE24" s="373" t="s">
        <v>26</v>
      </c>
    </row>
    <row r="25" spans="1:31" ht="27">
      <c r="A25" s="111">
        <v>61060</v>
      </c>
      <c r="B25" s="112" t="s">
        <v>39</v>
      </c>
      <c r="C25" s="73"/>
      <c r="D25" s="113">
        <v>3000</v>
      </c>
      <c r="E25" s="113">
        <v>2698</v>
      </c>
      <c r="F25" s="113">
        <f t="shared" si="5"/>
        <v>302</v>
      </c>
      <c r="G25" s="73"/>
      <c r="H25" s="113">
        <v>3000</v>
      </c>
      <c r="I25" s="113">
        <v>2805</v>
      </c>
      <c r="J25" s="113">
        <f t="shared" si="6"/>
        <v>195</v>
      </c>
      <c r="K25" s="73"/>
      <c r="L25" s="113">
        <v>3000</v>
      </c>
      <c r="M25" s="113">
        <v>2733</v>
      </c>
      <c r="N25" s="113">
        <f t="shared" si="3"/>
        <v>267</v>
      </c>
      <c r="O25" s="113"/>
      <c r="P25" s="73"/>
      <c r="Q25" s="113">
        <v>22500</v>
      </c>
      <c r="R25" s="114">
        <v>22122</v>
      </c>
      <c r="S25" s="310">
        <f t="shared" si="7"/>
        <v>-378</v>
      </c>
      <c r="T25" s="117"/>
      <c r="U25" s="307">
        <v>24600</v>
      </c>
      <c r="V25" s="307">
        <v>23039</v>
      </c>
      <c r="W25" s="120" t="s">
        <v>434</v>
      </c>
      <c r="X25" s="398">
        <v>24600</v>
      </c>
      <c r="Y25" s="407">
        <v>22777</v>
      </c>
      <c r="Z25" s="407">
        <f t="shared" si="8"/>
        <v>1823</v>
      </c>
      <c r="AA25" s="117"/>
      <c r="AB25" s="398">
        <v>24000</v>
      </c>
      <c r="AC25" s="398">
        <v>24000</v>
      </c>
      <c r="AD25" s="398">
        <v>24000</v>
      </c>
      <c r="AE25" s="374"/>
    </row>
    <row r="26" spans="1:31" ht="30">
      <c r="A26" s="111">
        <v>61070</v>
      </c>
      <c r="B26" s="112" t="s">
        <v>40</v>
      </c>
      <c r="C26" s="73"/>
      <c r="D26" s="113">
        <v>4000</v>
      </c>
      <c r="E26" s="113">
        <v>4114</v>
      </c>
      <c r="F26" s="113">
        <f t="shared" si="5"/>
        <v>-114</v>
      </c>
      <c r="G26" s="73"/>
      <c r="H26" s="113">
        <v>4200</v>
      </c>
      <c r="I26" s="113">
        <v>6206</v>
      </c>
      <c r="J26" s="113">
        <f t="shared" si="6"/>
        <v>-2006</v>
      </c>
      <c r="K26" s="73"/>
      <c r="L26" s="113">
        <v>7800</v>
      </c>
      <c r="M26" s="113">
        <v>7365</v>
      </c>
      <c r="N26" s="113">
        <f t="shared" si="3"/>
        <v>435</v>
      </c>
      <c r="O26" s="121" t="s">
        <v>202</v>
      </c>
      <c r="P26" s="73"/>
      <c r="Q26" s="122">
        <v>0</v>
      </c>
      <c r="R26" s="123">
        <v>1295</v>
      </c>
      <c r="S26" s="310">
        <f t="shared" si="7"/>
        <v>1295</v>
      </c>
      <c r="T26" s="124" t="s">
        <v>41</v>
      </c>
      <c r="U26" s="307">
        <v>0</v>
      </c>
      <c r="V26" s="307"/>
      <c r="W26" s="117"/>
      <c r="X26" s="398"/>
      <c r="Y26" s="407"/>
      <c r="Z26" s="407">
        <f t="shared" si="8"/>
        <v>0</v>
      </c>
      <c r="AA26" s="124" t="s">
        <v>41</v>
      </c>
      <c r="AB26" s="398"/>
      <c r="AC26" s="398"/>
      <c r="AD26" s="398"/>
      <c r="AE26" s="124" t="s">
        <v>41</v>
      </c>
    </row>
    <row r="27" spans="1:31" ht="15">
      <c r="A27" s="111">
        <v>61015</v>
      </c>
      <c r="B27" s="112" t="s">
        <v>42</v>
      </c>
      <c r="C27" s="73"/>
      <c r="D27" s="113">
        <v>500</v>
      </c>
      <c r="E27" s="113">
        <v>0</v>
      </c>
      <c r="F27" s="113">
        <f t="shared" si="5"/>
        <v>500</v>
      </c>
      <c r="G27" s="73"/>
      <c r="H27" s="113">
        <v>500</v>
      </c>
      <c r="I27" s="113">
        <v>0</v>
      </c>
      <c r="J27" s="113">
        <f t="shared" si="6"/>
        <v>500</v>
      </c>
      <c r="K27" s="73"/>
      <c r="L27" s="113">
        <v>500</v>
      </c>
      <c r="M27" s="113">
        <v>0</v>
      </c>
      <c r="N27" s="113">
        <f t="shared" si="3"/>
        <v>500</v>
      </c>
      <c r="O27" s="113"/>
      <c r="P27" s="73"/>
      <c r="Q27" s="113">
        <v>500</v>
      </c>
      <c r="R27" s="114">
        <v>0</v>
      </c>
      <c r="S27" s="310">
        <f t="shared" si="7"/>
        <v>-500</v>
      </c>
      <c r="T27" s="116" t="s">
        <v>30</v>
      </c>
      <c r="U27" s="307">
        <v>500</v>
      </c>
      <c r="V27" s="307">
        <v>0</v>
      </c>
      <c r="W27" s="117"/>
      <c r="X27" s="398">
        <v>500</v>
      </c>
      <c r="Y27" s="407">
        <v>0</v>
      </c>
      <c r="Z27" s="407">
        <f t="shared" si="8"/>
        <v>500</v>
      </c>
      <c r="AA27" s="116" t="s">
        <v>30</v>
      </c>
      <c r="AB27" s="398">
        <v>500</v>
      </c>
      <c r="AC27" s="398">
        <v>500</v>
      </c>
      <c r="AD27" s="398">
        <v>500</v>
      </c>
      <c r="AE27" s="373" t="s">
        <v>30</v>
      </c>
    </row>
    <row r="28" spans="1:31" ht="15">
      <c r="A28" s="111">
        <v>61065</v>
      </c>
      <c r="B28" s="112" t="s">
        <v>44</v>
      </c>
      <c r="C28" s="73"/>
      <c r="D28" s="113">
        <v>500</v>
      </c>
      <c r="E28" s="113">
        <v>0</v>
      </c>
      <c r="F28" s="113">
        <f t="shared" si="5"/>
        <v>500</v>
      </c>
      <c r="G28" s="73"/>
      <c r="H28" s="113">
        <v>500</v>
      </c>
      <c r="I28" s="113">
        <v>0</v>
      </c>
      <c r="J28" s="113">
        <f t="shared" si="6"/>
        <v>500</v>
      </c>
      <c r="K28" s="73"/>
      <c r="L28" s="113">
        <v>500</v>
      </c>
      <c r="M28" s="113">
        <v>228</v>
      </c>
      <c r="N28" s="113">
        <f t="shared" si="3"/>
        <v>272</v>
      </c>
      <c r="O28" s="113"/>
      <c r="P28" s="73"/>
      <c r="Q28" s="113">
        <v>500</v>
      </c>
      <c r="R28" s="114">
        <v>30</v>
      </c>
      <c r="S28" s="310">
        <f t="shared" si="7"/>
        <v>-470</v>
      </c>
      <c r="T28" s="116" t="s">
        <v>26</v>
      </c>
      <c r="U28" s="307">
        <v>500</v>
      </c>
      <c r="V28" s="307">
        <v>396</v>
      </c>
      <c r="W28" s="117"/>
      <c r="X28" s="398">
        <v>500</v>
      </c>
      <c r="Y28" s="407">
        <v>168</v>
      </c>
      <c r="Z28" s="407">
        <f t="shared" si="8"/>
        <v>332</v>
      </c>
      <c r="AA28" s="116" t="s">
        <v>26</v>
      </c>
      <c r="AB28" s="398">
        <v>500</v>
      </c>
      <c r="AC28" s="398">
        <v>500</v>
      </c>
      <c r="AD28" s="398">
        <v>500</v>
      </c>
      <c r="AE28" s="373" t="s">
        <v>26</v>
      </c>
    </row>
    <row r="29" spans="1:31">
      <c r="A29" s="69"/>
      <c r="B29" s="125" t="s">
        <v>10</v>
      </c>
      <c r="C29" s="71"/>
      <c r="D29" s="126">
        <v>347204</v>
      </c>
      <c r="E29" s="126">
        <v>352335</v>
      </c>
      <c r="F29" s="126">
        <f t="shared" si="5"/>
        <v>-5131</v>
      </c>
      <c r="G29" s="73"/>
      <c r="H29" s="126">
        <f>SUM(H17:H28)</f>
        <v>357704</v>
      </c>
      <c r="I29" s="126">
        <f>SUM(I17:I28)</f>
        <v>360262</v>
      </c>
      <c r="J29" s="113">
        <f t="shared" si="6"/>
        <v>-2558</v>
      </c>
      <c r="K29" s="73"/>
      <c r="L29" s="126">
        <f>SUM(L17:L28)</f>
        <v>363304</v>
      </c>
      <c r="M29" s="126">
        <f>SUM(M17:M28)</f>
        <v>309541</v>
      </c>
      <c r="N29" s="113">
        <f t="shared" si="3"/>
        <v>53763</v>
      </c>
      <c r="O29" s="113"/>
      <c r="P29" s="73"/>
      <c r="Q29" s="126">
        <f>SUM(Q17:Q28)</f>
        <v>335796</v>
      </c>
      <c r="R29" s="115">
        <f>SUM(R17:R28)</f>
        <v>247584</v>
      </c>
      <c r="S29" s="310">
        <f t="shared" si="7"/>
        <v>-88212</v>
      </c>
      <c r="T29" s="117"/>
      <c r="U29" s="308">
        <f>SUM(U17:U28)</f>
        <v>263975.67</v>
      </c>
      <c r="V29" s="308">
        <f>SUM(V17:V28)</f>
        <v>248562</v>
      </c>
      <c r="W29" s="119"/>
      <c r="X29" s="396">
        <f>SUM(X17:X28)</f>
        <v>250221.06</v>
      </c>
      <c r="Y29" s="409">
        <f>SUM(Y17:Y28)</f>
        <v>247507</v>
      </c>
      <c r="Z29" s="409">
        <f>SUM(Z17:Z28)</f>
        <v>2714.0599999999977</v>
      </c>
      <c r="AA29" s="118"/>
      <c r="AB29" s="396">
        <f>SUM(AB17:AB28)</f>
        <v>259174</v>
      </c>
      <c r="AC29" s="396">
        <f>SUM(AC17:AC28)</f>
        <v>259174</v>
      </c>
      <c r="AD29" s="396">
        <f>SUM(AD17:AD28)</f>
        <v>259174</v>
      </c>
      <c r="AE29" s="550"/>
    </row>
    <row r="30" spans="1:31">
      <c r="A30" s="69"/>
      <c r="B30" s="107"/>
      <c r="C30" s="73"/>
      <c r="D30" s="107"/>
      <c r="E30" s="107"/>
      <c r="F30" s="107"/>
      <c r="G30" s="73"/>
      <c r="H30" s="107"/>
      <c r="I30" s="107"/>
      <c r="J30" s="107"/>
      <c r="K30" s="73"/>
      <c r="L30" s="107"/>
      <c r="M30" s="107"/>
      <c r="N30" s="107"/>
      <c r="O30" s="107"/>
      <c r="P30" s="73"/>
      <c r="Q30" s="107"/>
      <c r="R30" s="108"/>
      <c r="S30" s="108"/>
      <c r="T30" s="110"/>
      <c r="U30" s="178"/>
      <c r="V30" s="178"/>
      <c r="W30" s="110"/>
      <c r="X30" s="398"/>
      <c r="Y30" s="406"/>
      <c r="Z30" s="406"/>
      <c r="AA30" s="105"/>
      <c r="AB30" s="398"/>
      <c r="AC30" s="398"/>
      <c r="AD30" s="398"/>
      <c r="AE30" s="549"/>
    </row>
    <row r="31" spans="1:31">
      <c r="A31" s="69"/>
      <c r="B31" s="127" t="s">
        <v>400</v>
      </c>
      <c r="C31" s="71"/>
      <c r="D31" s="128"/>
      <c r="E31" s="128"/>
      <c r="F31" s="128"/>
      <c r="G31" s="73"/>
      <c r="H31" s="128"/>
      <c r="I31" s="128"/>
      <c r="J31" s="128"/>
      <c r="K31" s="73"/>
      <c r="L31" s="128"/>
      <c r="M31" s="128"/>
      <c r="N31" s="128"/>
      <c r="O31" s="128"/>
      <c r="P31" s="73"/>
      <c r="Q31" s="128"/>
      <c r="R31" s="129"/>
      <c r="S31" s="129"/>
      <c r="T31" s="131"/>
      <c r="U31" s="290"/>
      <c r="V31" s="290"/>
      <c r="W31" s="133"/>
      <c r="X31" s="398"/>
      <c r="Y31" s="410"/>
      <c r="Z31" s="410"/>
      <c r="AA31" s="132"/>
      <c r="AB31" s="398"/>
      <c r="AC31" s="398"/>
      <c r="AD31" s="398"/>
      <c r="AE31" s="254"/>
    </row>
    <row r="32" spans="1:31" ht="15">
      <c r="A32" s="111">
        <v>62035</v>
      </c>
      <c r="B32" s="134" t="s">
        <v>45</v>
      </c>
      <c r="C32" s="73"/>
      <c r="D32" s="128">
        <v>1200</v>
      </c>
      <c r="E32" s="128">
        <v>2601</v>
      </c>
      <c r="F32" s="128">
        <f>D32-E32</f>
        <v>-1401</v>
      </c>
      <c r="G32" s="73"/>
      <c r="H32" s="128">
        <v>2500</v>
      </c>
      <c r="I32" s="128">
        <v>3921</v>
      </c>
      <c r="J32" s="128">
        <f t="shared" ref="J32:J51" si="9">H32-I32</f>
        <v>-1421</v>
      </c>
      <c r="K32" s="73"/>
      <c r="L32" s="128">
        <v>4000</v>
      </c>
      <c r="M32" s="128">
        <v>2402</v>
      </c>
      <c r="N32" s="128">
        <f>L32-M32</f>
        <v>1598</v>
      </c>
      <c r="O32" s="128"/>
      <c r="P32" s="73"/>
      <c r="Q32" s="128">
        <v>4000</v>
      </c>
      <c r="R32" s="129">
        <v>1830</v>
      </c>
      <c r="S32" s="281">
        <f t="shared" ref="S32:S51" si="10">R32-Q32</f>
        <v>-2170</v>
      </c>
      <c r="T32" s="131"/>
      <c r="U32" s="290">
        <v>1900</v>
      </c>
      <c r="V32" s="290">
        <v>2046</v>
      </c>
      <c r="W32" s="133"/>
      <c r="X32" s="398">
        <v>2100</v>
      </c>
      <c r="Y32" s="410">
        <v>2794</v>
      </c>
      <c r="Z32" s="410">
        <f>X32-Y32</f>
        <v>-694</v>
      </c>
      <c r="AA32" s="132"/>
      <c r="AB32" s="398">
        <v>3000</v>
      </c>
      <c r="AC32" s="398">
        <v>3000</v>
      </c>
      <c r="AD32" s="398">
        <v>3000</v>
      </c>
      <c r="AE32" s="254"/>
    </row>
    <row r="33" spans="1:31" ht="45">
      <c r="A33" s="111">
        <v>62020</v>
      </c>
      <c r="B33" s="135" t="s">
        <v>46</v>
      </c>
      <c r="C33" s="73"/>
      <c r="D33" s="128">
        <v>10000</v>
      </c>
      <c r="E33" s="128">
        <v>8097</v>
      </c>
      <c r="F33" s="128">
        <f>D33-E33</f>
        <v>1903</v>
      </c>
      <c r="G33" s="73"/>
      <c r="H33" s="128">
        <v>8000</v>
      </c>
      <c r="I33" s="128">
        <v>3603</v>
      </c>
      <c r="J33" s="128">
        <f t="shared" si="9"/>
        <v>4397</v>
      </c>
      <c r="K33" s="136"/>
      <c r="L33" s="128">
        <v>6000</v>
      </c>
      <c r="M33" s="128">
        <v>4725</v>
      </c>
      <c r="N33" s="128">
        <f t="shared" ref="N33:N51" si="11">L33-M33</f>
        <v>1275</v>
      </c>
      <c r="O33" s="137" t="s">
        <v>47</v>
      </c>
      <c r="P33" s="136"/>
      <c r="Q33" s="128">
        <v>6000</v>
      </c>
      <c r="R33" s="129">
        <v>3445</v>
      </c>
      <c r="S33" s="281">
        <f t="shared" si="10"/>
        <v>-2555</v>
      </c>
      <c r="T33" s="131"/>
      <c r="U33" s="290">
        <v>8400</v>
      </c>
      <c r="V33" s="290">
        <v>12206</v>
      </c>
      <c r="W33" s="257" t="s">
        <v>438</v>
      </c>
      <c r="X33" s="398">
        <v>6000</v>
      </c>
      <c r="Y33" s="410">
        <v>4606</v>
      </c>
      <c r="Z33" s="410">
        <f t="shared" ref="Z33:Z50" si="12">X33-Y33</f>
        <v>1394</v>
      </c>
      <c r="AA33" s="254"/>
      <c r="AB33" s="398">
        <v>12000</v>
      </c>
      <c r="AC33" s="398">
        <v>12000</v>
      </c>
      <c r="AD33" s="398">
        <v>12000</v>
      </c>
      <c r="AE33" s="254" t="s">
        <v>594</v>
      </c>
    </row>
    <row r="34" spans="1:31" ht="30">
      <c r="A34" s="111">
        <v>62055</v>
      </c>
      <c r="B34" s="135" t="s">
        <v>48</v>
      </c>
      <c r="C34" s="73"/>
      <c r="D34" s="128">
        <v>3600</v>
      </c>
      <c r="E34" s="128">
        <v>0</v>
      </c>
      <c r="F34" s="128">
        <f>D34-E34</f>
        <v>3600</v>
      </c>
      <c r="G34" s="73"/>
      <c r="H34" s="128">
        <v>325</v>
      </c>
      <c r="I34" s="128">
        <v>300</v>
      </c>
      <c r="J34" s="128">
        <f t="shared" si="9"/>
        <v>25</v>
      </c>
      <c r="K34" s="136"/>
      <c r="L34" s="128">
        <v>325</v>
      </c>
      <c r="M34" s="128">
        <v>0</v>
      </c>
      <c r="N34" s="128">
        <f t="shared" si="11"/>
        <v>325</v>
      </c>
      <c r="O34" s="137" t="s">
        <v>49</v>
      </c>
      <c r="P34" s="136"/>
      <c r="Q34" s="128">
        <v>325</v>
      </c>
      <c r="R34" s="129">
        <v>0</v>
      </c>
      <c r="S34" s="281">
        <f t="shared" si="10"/>
        <v>-325</v>
      </c>
      <c r="T34" s="131"/>
      <c r="U34" s="290">
        <v>325</v>
      </c>
      <c r="V34" s="290">
        <v>130</v>
      </c>
      <c r="W34" s="133"/>
      <c r="X34" s="398">
        <v>325</v>
      </c>
      <c r="Y34" s="410">
        <v>0</v>
      </c>
      <c r="Z34" s="410">
        <f t="shared" si="12"/>
        <v>325</v>
      </c>
      <c r="AA34" s="132" t="s">
        <v>439</v>
      </c>
      <c r="AB34" s="398">
        <v>500</v>
      </c>
      <c r="AC34" s="398">
        <v>500</v>
      </c>
      <c r="AD34" s="398">
        <v>500</v>
      </c>
      <c r="AE34" s="254" t="s">
        <v>684</v>
      </c>
    </row>
    <row r="35" spans="1:31">
      <c r="A35" s="111">
        <v>62045</v>
      </c>
      <c r="B35" s="135" t="s">
        <v>50</v>
      </c>
      <c r="C35" s="73"/>
      <c r="D35" s="128">
        <v>8000</v>
      </c>
      <c r="E35" s="128">
        <v>4772</v>
      </c>
      <c r="F35" s="128">
        <f>D35-E35</f>
        <v>3228</v>
      </c>
      <c r="G35" s="73"/>
      <c r="H35" s="128">
        <v>4800</v>
      </c>
      <c r="I35" s="128">
        <v>4485</v>
      </c>
      <c r="J35" s="128">
        <f t="shared" si="9"/>
        <v>315</v>
      </c>
      <c r="K35" s="73"/>
      <c r="L35" s="128">
        <v>4800</v>
      </c>
      <c r="M35" s="128">
        <v>2509</v>
      </c>
      <c r="N35" s="128">
        <f t="shared" si="11"/>
        <v>2291</v>
      </c>
      <c r="O35" s="128"/>
      <c r="P35" s="73"/>
      <c r="Q35" s="128">
        <v>4000</v>
      </c>
      <c r="R35" s="129">
        <v>2890</v>
      </c>
      <c r="S35" s="281">
        <f t="shared" si="10"/>
        <v>-1110</v>
      </c>
      <c r="T35" s="131"/>
      <c r="U35" s="290">
        <v>3000</v>
      </c>
      <c r="V35" s="290">
        <v>3480</v>
      </c>
      <c r="W35" s="133"/>
      <c r="X35" s="398">
        <v>3500</v>
      </c>
      <c r="Y35" s="410">
        <v>5270</v>
      </c>
      <c r="Z35" s="410">
        <f t="shared" si="12"/>
        <v>-1770</v>
      </c>
      <c r="AA35" s="132"/>
      <c r="AB35" s="398">
        <v>3500</v>
      </c>
      <c r="AC35" s="398">
        <v>3500</v>
      </c>
      <c r="AD35" s="398">
        <v>3500</v>
      </c>
      <c r="AE35" s="254"/>
    </row>
    <row r="36" spans="1:31" ht="15">
      <c r="A36" s="69"/>
      <c r="B36" s="135" t="s">
        <v>51</v>
      </c>
      <c r="C36" s="73"/>
      <c r="D36" s="128"/>
      <c r="E36" s="128"/>
      <c r="F36" s="128"/>
      <c r="G36" s="73"/>
      <c r="H36" s="128">
        <v>7600</v>
      </c>
      <c r="I36" s="128">
        <v>5972</v>
      </c>
      <c r="J36" s="128">
        <f t="shared" si="9"/>
        <v>1628</v>
      </c>
      <c r="K36" s="73"/>
      <c r="L36" s="128"/>
      <c r="M36" s="128">
        <v>344</v>
      </c>
      <c r="N36" s="128">
        <f t="shared" si="11"/>
        <v>-344</v>
      </c>
      <c r="O36" s="128"/>
      <c r="P36" s="73"/>
      <c r="Q36" s="128">
        <v>0</v>
      </c>
      <c r="R36" s="129">
        <v>0</v>
      </c>
      <c r="S36" s="281">
        <f t="shared" si="10"/>
        <v>0</v>
      </c>
      <c r="T36" s="138" t="s">
        <v>52</v>
      </c>
      <c r="U36" s="290"/>
      <c r="V36" s="290">
        <v>0</v>
      </c>
      <c r="W36" s="133"/>
      <c r="X36" s="398">
        <v>0</v>
      </c>
      <c r="Y36" s="410">
        <v>0</v>
      </c>
      <c r="Z36" s="410">
        <f t="shared" si="12"/>
        <v>0</v>
      </c>
      <c r="AA36" s="254" t="s">
        <v>449</v>
      </c>
      <c r="AB36" s="398">
        <v>500</v>
      </c>
      <c r="AC36" s="398">
        <v>500</v>
      </c>
      <c r="AD36" s="398">
        <v>500</v>
      </c>
      <c r="AE36" s="254" t="s">
        <v>595</v>
      </c>
    </row>
    <row r="37" spans="1:31" ht="45">
      <c r="A37" s="69"/>
      <c r="B37" s="134" t="s">
        <v>53</v>
      </c>
      <c r="C37" s="73"/>
      <c r="D37" s="128"/>
      <c r="E37" s="128"/>
      <c r="F37" s="128"/>
      <c r="G37" s="73"/>
      <c r="H37" s="128">
        <v>7400</v>
      </c>
      <c r="I37" s="128">
        <v>7381</v>
      </c>
      <c r="J37" s="128">
        <f t="shared" si="9"/>
        <v>19</v>
      </c>
      <c r="K37" s="73"/>
      <c r="L37" s="128"/>
      <c r="M37" s="128">
        <v>0</v>
      </c>
      <c r="N37" s="128">
        <f t="shared" si="11"/>
        <v>0</v>
      </c>
      <c r="O37" s="128"/>
      <c r="P37" s="73"/>
      <c r="Q37" s="128">
        <v>0</v>
      </c>
      <c r="R37" s="129">
        <v>0</v>
      </c>
      <c r="S37" s="281">
        <f t="shared" si="10"/>
        <v>0</v>
      </c>
      <c r="T37" s="138" t="s">
        <v>52</v>
      </c>
      <c r="U37" s="290"/>
      <c r="V37" s="290">
        <v>0</v>
      </c>
      <c r="W37" s="133"/>
      <c r="X37" s="398">
        <v>2150</v>
      </c>
      <c r="Y37" s="410">
        <v>0</v>
      </c>
      <c r="Z37" s="410">
        <f t="shared" si="12"/>
        <v>2150</v>
      </c>
      <c r="AA37" s="254" t="s">
        <v>450</v>
      </c>
      <c r="AB37" s="398">
        <v>70</v>
      </c>
      <c r="AC37" s="398">
        <v>70</v>
      </c>
      <c r="AD37" s="398">
        <v>70</v>
      </c>
      <c r="AE37" s="254" t="s">
        <v>596</v>
      </c>
    </row>
    <row r="38" spans="1:31" ht="30">
      <c r="A38" s="111">
        <v>62065</v>
      </c>
      <c r="B38" s="135" t="s">
        <v>54</v>
      </c>
      <c r="C38" s="73"/>
      <c r="D38" s="128">
        <v>3000</v>
      </c>
      <c r="E38" s="128">
        <v>1861</v>
      </c>
      <c r="F38" s="128">
        <f t="shared" ref="F38:F46" si="13">D38-E38</f>
        <v>1139</v>
      </c>
      <c r="G38" s="73"/>
      <c r="H38" s="128">
        <v>2000</v>
      </c>
      <c r="I38" s="128">
        <v>1808</v>
      </c>
      <c r="J38" s="128">
        <f t="shared" si="9"/>
        <v>192</v>
      </c>
      <c r="K38" s="136"/>
      <c r="L38" s="128">
        <v>2000</v>
      </c>
      <c r="M38" s="128">
        <v>2614</v>
      </c>
      <c r="N38" s="128">
        <f t="shared" si="11"/>
        <v>-614</v>
      </c>
      <c r="O38" s="128"/>
      <c r="P38" s="73"/>
      <c r="Q38" s="139">
        <v>2200</v>
      </c>
      <c r="R38" s="140">
        <v>2153</v>
      </c>
      <c r="S38" s="281">
        <f t="shared" si="10"/>
        <v>-47</v>
      </c>
      <c r="T38" s="141" t="s">
        <v>55</v>
      </c>
      <c r="U38" s="290">
        <v>2300</v>
      </c>
      <c r="V38" s="290">
        <v>2819</v>
      </c>
      <c r="W38" s="133"/>
      <c r="X38" s="398">
        <v>3000</v>
      </c>
      <c r="Y38" s="410">
        <v>3697</v>
      </c>
      <c r="Z38" s="410">
        <f t="shared" si="12"/>
        <v>-697</v>
      </c>
      <c r="AA38" s="132"/>
      <c r="AB38" s="398">
        <v>3000</v>
      </c>
      <c r="AC38" s="398">
        <v>3000</v>
      </c>
      <c r="AD38" s="398">
        <v>3000</v>
      </c>
      <c r="AE38" s="254"/>
    </row>
    <row r="39" spans="1:31">
      <c r="A39" s="111">
        <v>62075</v>
      </c>
      <c r="B39" s="135" t="s">
        <v>56</v>
      </c>
      <c r="C39" s="73"/>
      <c r="D39" s="128">
        <v>20000</v>
      </c>
      <c r="E39" s="128">
        <v>11701</v>
      </c>
      <c r="F39" s="128">
        <f t="shared" si="13"/>
        <v>8299</v>
      </c>
      <c r="G39" s="73"/>
      <c r="H39" s="128">
        <v>12000</v>
      </c>
      <c r="I39" s="128">
        <v>10614</v>
      </c>
      <c r="J39" s="128">
        <f t="shared" si="9"/>
        <v>1386</v>
      </c>
      <c r="K39" s="73"/>
      <c r="L39" s="128">
        <v>11000</v>
      </c>
      <c r="M39" s="128">
        <v>10427</v>
      </c>
      <c r="N39" s="128">
        <f t="shared" si="11"/>
        <v>573</v>
      </c>
      <c r="O39" s="128"/>
      <c r="P39" s="73"/>
      <c r="Q39" s="128">
        <v>15000</v>
      </c>
      <c r="R39" s="129">
        <v>6520</v>
      </c>
      <c r="S39" s="281">
        <f t="shared" si="10"/>
        <v>-8480</v>
      </c>
      <c r="T39" s="131"/>
      <c r="U39" s="290">
        <v>7000</v>
      </c>
      <c r="V39" s="290">
        <v>10193</v>
      </c>
      <c r="W39" s="133"/>
      <c r="X39" s="398">
        <v>10000</v>
      </c>
      <c r="Y39" s="410">
        <v>11115</v>
      </c>
      <c r="Z39" s="410">
        <f t="shared" si="12"/>
        <v>-1115</v>
      </c>
      <c r="AA39" s="132"/>
      <c r="AB39" s="398">
        <v>10000</v>
      </c>
      <c r="AC39" s="398">
        <v>10000</v>
      </c>
      <c r="AD39" s="398">
        <v>10000</v>
      </c>
      <c r="AE39" s="254"/>
    </row>
    <row r="40" spans="1:31" ht="15">
      <c r="A40" s="111"/>
      <c r="B40" s="135" t="s">
        <v>57</v>
      </c>
      <c r="C40" s="73"/>
      <c r="D40" s="128">
        <v>5000</v>
      </c>
      <c r="E40" s="128">
        <v>990</v>
      </c>
      <c r="F40" s="128">
        <f t="shared" si="13"/>
        <v>4010</v>
      </c>
      <c r="G40" s="73"/>
      <c r="H40" s="128">
        <v>1500</v>
      </c>
      <c r="I40" s="128">
        <v>567</v>
      </c>
      <c r="J40" s="128">
        <f t="shared" si="9"/>
        <v>933</v>
      </c>
      <c r="K40" s="73"/>
      <c r="L40" s="128">
        <v>600</v>
      </c>
      <c r="M40" s="128">
        <v>1051</v>
      </c>
      <c r="N40" s="128">
        <f t="shared" si="11"/>
        <v>-451</v>
      </c>
      <c r="O40" s="128"/>
      <c r="P40" s="73"/>
      <c r="Q40" s="128">
        <v>1500</v>
      </c>
      <c r="R40" s="129">
        <v>890</v>
      </c>
      <c r="S40" s="281">
        <f t="shared" si="10"/>
        <v>-610</v>
      </c>
      <c r="T40" s="131"/>
      <c r="U40" s="290">
        <v>1000</v>
      </c>
      <c r="V40" s="290">
        <v>1043</v>
      </c>
      <c r="W40" s="133"/>
      <c r="X40" s="398">
        <v>1000</v>
      </c>
      <c r="Y40" s="410">
        <v>1632</v>
      </c>
      <c r="Z40" s="410">
        <f t="shared" si="12"/>
        <v>-632</v>
      </c>
      <c r="AA40" s="132"/>
      <c r="AB40" s="398">
        <v>2800</v>
      </c>
      <c r="AC40" s="398">
        <v>2800</v>
      </c>
      <c r="AD40" s="398">
        <v>2800</v>
      </c>
      <c r="AE40" s="254" t="s">
        <v>597</v>
      </c>
    </row>
    <row r="41" spans="1:31" ht="15">
      <c r="A41" s="111">
        <v>62070</v>
      </c>
      <c r="B41" s="135" t="s">
        <v>58</v>
      </c>
      <c r="C41" s="73"/>
      <c r="D41" s="128">
        <v>3000</v>
      </c>
      <c r="E41" s="128">
        <v>1192</v>
      </c>
      <c r="F41" s="128">
        <f t="shared" si="13"/>
        <v>1808</v>
      </c>
      <c r="G41" s="73"/>
      <c r="H41" s="128">
        <v>1500</v>
      </c>
      <c r="I41" s="128">
        <v>893</v>
      </c>
      <c r="J41" s="128">
        <f t="shared" si="9"/>
        <v>607</v>
      </c>
      <c r="K41" s="73"/>
      <c r="L41" s="128">
        <v>10000</v>
      </c>
      <c r="M41" s="128">
        <v>4857</v>
      </c>
      <c r="N41" s="128">
        <f t="shared" si="11"/>
        <v>5143</v>
      </c>
      <c r="O41" s="128"/>
      <c r="P41" s="73"/>
      <c r="Q41" s="128">
        <v>10000</v>
      </c>
      <c r="R41" s="129">
        <v>3680</v>
      </c>
      <c r="S41" s="281">
        <f t="shared" si="10"/>
        <v>-6320</v>
      </c>
      <c r="T41" s="131"/>
      <c r="U41" s="290">
        <v>4000</v>
      </c>
      <c r="V41" s="290">
        <v>1698</v>
      </c>
      <c r="W41" s="133"/>
      <c r="X41" s="398">
        <v>3000</v>
      </c>
      <c r="Y41" s="410">
        <v>721</v>
      </c>
      <c r="Z41" s="410">
        <f t="shared" si="12"/>
        <v>2279</v>
      </c>
      <c r="AA41" s="132"/>
      <c r="AB41" s="398">
        <v>4800</v>
      </c>
      <c r="AC41" s="398">
        <v>4800</v>
      </c>
      <c r="AD41" s="398">
        <v>4800</v>
      </c>
      <c r="AE41" s="254" t="s">
        <v>597</v>
      </c>
    </row>
    <row r="42" spans="1:31" ht="45">
      <c r="A42" s="111"/>
      <c r="B42" s="135" t="s">
        <v>601</v>
      </c>
      <c r="C42" s="73"/>
      <c r="D42" s="128"/>
      <c r="E42" s="128"/>
      <c r="F42" s="128"/>
      <c r="G42" s="73"/>
      <c r="H42" s="128"/>
      <c r="I42" s="128"/>
      <c r="J42" s="128"/>
      <c r="K42" s="73"/>
      <c r="L42" s="128"/>
      <c r="M42" s="128"/>
      <c r="N42" s="128"/>
      <c r="O42" s="128"/>
      <c r="P42" s="73"/>
      <c r="Q42" s="128"/>
      <c r="R42" s="129"/>
      <c r="S42" s="281"/>
      <c r="T42" s="131"/>
      <c r="U42" s="290"/>
      <c r="V42" s="290"/>
      <c r="W42" s="133"/>
      <c r="X42" s="398">
        <v>0</v>
      </c>
      <c r="Y42" s="410">
        <v>0</v>
      </c>
      <c r="Z42" s="410">
        <f t="shared" si="12"/>
        <v>0</v>
      </c>
      <c r="AA42" s="132"/>
      <c r="AB42" s="398">
        <v>1500</v>
      </c>
      <c r="AC42" s="398">
        <v>1500</v>
      </c>
      <c r="AD42" s="398">
        <v>1500</v>
      </c>
      <c r="AE42" s="254" t="s">
        <v>603</v>
      </c>
    </row>
    <row r="43" spans="1:31" ht="30">
      <c r="A43" s="111"/>
      <c r="B43" s="135" t="s">
        <v>602</v>
      </c>
      <c r="C43" s="73"/>
      <c r="D43" s="128"/>
      <c r="E43" s="128"/>
      <c r="F43" s="128"/>
      <c r="G43" s="73"/>
      <c r="H43" s="128"/>
      <c r="I43" s="128"/>
      <c r="J43" s="128"/>
      <c r="K43" s="73"/>
      <c r="L43" s="128"/>
      <c r="M43" s="128"/>
      <c r="N43" s="128"/>
      <c r="O43" s="128"/>
      <c r="P43" s="73"/>
      <c r="Q43" s="128"/>
      <c r="R43" s="129"/>
      <c r="S43" s="281"/>
      <c r="T43" s="131"/>
      <c r="U43" s="290"/>
      <c r="V43" s="290"/>
      <c r="W43" s="133"/>
      <c r="X43" s="398">
        <v>0</v>
      </c>
      <c r="Y43" s="410">
        <v>0</v>
      </c>
      <c r="Z43" s="410">
        <f t="shared" si="12"/>
        <v>0</v>
      </c>
      <c r="AA43" s="132"/>
      <c r="AB43" s="398">
        <v>4000</v>
      </c>
      <c r="AC43" s="398">
        <v>4000</v>
      </c>
      <c r="AD43" s="398">
        <v>4000</v>
      </c>
      <c r="AE43" s="254" t="s">
        <v>604</v>
      </c>
    </row>
    <row r="44" spans="1:31" ht="15">
      <c r="A44" s="111">
        <v>62060</v>
      </c>
      <c r="B44" s="135" t="s">
        <v>59</v>
      </c>
      <c r="C44" s="73"/>
      <c r="D44" s="128">
        <v>15000</v>
      </c>
      <c r="E44" s="128">
        <v>5950</v>
      </c>
      <c r="F44" s="128">
        <f t="shared" si="13"/>
        <v>9050</v>
      </c>
      <c r="G44" s="73"/>
      <c r="H44" s="128">
        <v>10000</v>
      </c>
      <c r="I44" s="128">
        <v>6567</v>
      </c>
      <c r="J44" s="128">
        <f t="shared" si="9"/>
        <v>3433</v>
      </c>
      <c r="K44" s="73"/>
      <c r="L44" s="128">
        <v>7000</v>
      </c>
      <c r="M44" s="128">
        <v>10163</v>
      </c>
      <c r="N44" s="128">
        <f t="shared" si="11"/>
        <v>-3163</v>
      </c>
      <c r="O44" s="142" t="s">
        <v>60</v>
      </c>
      <c r="P44" s="73"/>
      <c r="Q44" s="128">
        <v>10000</v>
      </c>
      <c r="R44" s="129">
        <v>9165</v>
      </c>
      <c r="S44" s="281">
        <f t="shared" si="10"/>
        <v>-835</v>
      </c>
      <c r="T44" s="131"/>
      <c r="U44" s="290">
        <v>10000</v>
      </c>
      <c r="V44" s="290">
        <v>12461</v>
      </c>
      <c r="W44" s="133"/>
      <c r="X44" s="398">
        <v>13000</v>
      </c>
      <c r="Y44" s="410">
        <v>11068</v>
      </c>
      <c r="Z44" s="410">
        <f t="shared" si="12"/>
        <v>1932</v>
      </c>
      <c r="AA44" s="132" t="s">
        <v>531</v>
      </c>
      <c r="AB44" s="398">
        <v>13000</v>
      </c>
      <c r="AC44" s="398">
        <v>13000</v>
      </c>
      <c r="AD44" s="398">
        <v>13000</v>
      </c>
      <c r="AE44" s="254" t="s">
        <v>531</v>
      </c>
    </row>
    <row r="45" spans="1:31" ht="15">
      <c r="A45" s="111">
        <v>62050</v>
      </c>
      <c r="B45" s="135" t="s">
        <v>61</v>
      </c>
      <c r="C45" s="73"/>
      <c r="D45" s="128">
        <v>5000</v>
      </c>
      <c r="E45" s="128">
        <v>5668</v>
      </c>
      <c r="F45" s="128">
        <f t="shared" si="13"/>
        <v>-668</v>
      </c>
      <c r="G45" s="73"/>
      <c r="H45" s="128">
        <v>6000</v>
      </c>
      <c r="I45" s="128">
        <v>7120</v>
      </c>
      <c r="J45" s="128">
        <f t="shared" si="9"/>
        <v>-1120</v>
      </c>
      <c r="K45" s="73"/>
      <c r="L45" s="128">
        <v>8000</v>
      </c>
      <c r="M45" s="128">
        <v>3124</v>
      </c>
      <c r="N45" s="128">
        <f t="shared" si="11"/>
        <v>4876</v>
      </c>
      <c r="O45" s="143"/>
      <c r="P45" s="136"/>
      <c r="Q45" s="128">
        <v>8000</v>
      </c>
      <c r="R45" s="129">
        <v>6240</v>
      </c>
      <c r="S45" s="281">
        <f t="shared" si="10"/>
        <v>-1760</v>
      </c>
      <c r="T45" s="131"/>
      <c r="U45" s="290">
        <v>6500</v>
      </c>
      <c r="V45" s="290">
        <v>575</v>
      </c>
      <c r="W45" s="133"/>
      <c r="X45" s="398">
        <v>2000</v>
      </c>
      <c r="Y45" s="410">
        <v>443</v>
      </c>
      <c r="Z45" s="410">
        <f t="shared" si="12"/>
        <v>1557</v>
      </c>
      <c r="AA45" s="132"/>
      <c r="AB45" s="398">
        <v>3000</v>
      </c>
      <c r="AC45" s="398">
        <v>3000</v>
      </c>
      <c r="AD45" s="398">
        <v>3000</v>
      </c>
      <c r="AE45" s="254" t="s">
        <v>598</v>
      </c>
    </row>
    <row r="46" spans="1:31">
      <c r="A46" s="111">
        <v>62030</v>
      </c>
      <c r="B46" s="135" t="s">
        <v>62</v>
      </c>
      <c r="C46" s="73"/>
      <c r="D46" s="128">
        <v>5000</v>
      </c>
      <c r="E46" s="128">
        <v>4812</v>
      </c>
      <c r="F46" s="128">
        <f t="shared" si="13"/>
        <v>188</v>
      </c>
      <c r="G46" s="73"/>
      <c r="H46" s="128">
        <v>5000</v>
      </c>
      <c r="I46" s="128">
        <v>2812</v>
      </c>
      <c r="J46" s="128">
        <f t="shared" si="9"/>
        <v>2188</v>
      </c>
      <c r="K46" s="73"/>
      <c r="L46" s="128">
        <v>3000</v>
      </c>
      <c r="M46" s="128">
        <v>3960</v>
      </c>
      <c r="N46" s="128">
        <f t="shared" si="11"/>
        <v>-960</v>
      </c>
      <c r="O46" s="128"/>
      <c r="P46" s="73"/>
      <c r="Q46" s="128">
        <v>4000</v>
      </c>
      <c r="R46" s="129">
        <v>2818</v>
      </c>
      <c r="S46" s="281">
        <f t="shared" si="10"/>
        <v>-1182</v>
      </c>
      <c r="T46" s="131"/>
      <c r="U46" s="290">
        <v>3000</v>
      </c>
      <c r="V46" s="290">
        <v>2615</v>
      </c>
      <c r="W46" s="133"/>
      <c r="X46" s="398">
        <v>3000</v>
      </c>
      <c r="Y46" s="410">
        <v>2314</v>
      </c>
      <c r="Z46" s="410">
        <f t="shared" si="12"/>
        <v>686</v>
      </c>
      <c r="AA46" s="132"/>
      <c r="AB46" s="398">
        <v>3000</v>
      </c>
      <c r="AC46" s="398">
        <v>3000</v>
      </c>
      <c r="AD46" s="398">
        <v>3000</v>
      </c>
      <c r="AE46" s="254"/>
    </row>
    <row r="47" spans="1:31" ht="30">
      <c r="A47" s="69"/>
      <c r="B47" s="135" t="s">
        <v>63</v>
      </c>
      <c r="C47" s="73"/>
      <c r="D47" s="128"/>
      <c r="E47" s="128"/>
      <c r="F47" s="128"/>
      <c r="G47" s="73"/>
      <c r="H47" s="128">
        <v>0</v>
      </c>
      <c r="I47" s="128">
        <v>0</v>
      </c>
      <c r="J47" s="128">
        <f t="shared" si="9"/>
        <v>0</v>
      </c>
      <c r="K47" s="73"/>
      <c r="L47" s="128">
        <v>2900</v>
      </c>
      <c r="M47" s="128">
        <v>2898</v>
      </c>
      <c r="N47" s="128">
        <f t="shared" si="11"/>
        <v>2</v>
      </c>
      <c r="O47" s="137" t="s">
        <v>64</v>
      </c>
      <c r="P47" s="136"/>
      <c r="Q47" s="128">
        <v>0</v>
      </c>
      <c r="R47" s="129">
        <v>0</v>
      </c>
      <c r="S47" s="281">
        <f t="shared" si="10"/>
        <v>0</v>
      </c>
      <c r="T47" s="144" t="s">
        <v>52</v>
      </c>
      <c r="U47" s="290">
        <v>0</v>
      </c>
      <c r="V47" s="290">
        <v>0</v>
      </c>
      <c r="W47" s="133"/>
      <c r="X47" s="398">
        <v>0</v>
      </c>
      <c r="Y47" s="410">
        <v>0</v>
      </c>
      <c r="Z47" s="410">
        <f t="shared" si="12"/>
        <v>0</v>
      </c>
      <c r="AA47" s="132" t="s">
        <v>223</v>
      </c>
      <c r="AB47" s="398">
        <v>0</v>
      </c>
      <c r="AC47" s="398">
        <v>0</v>
      </c>
      <c r="AD47" s="398">
        <v>0</v>
      </c>
      <c r="AE47" s="254" t="s">
        <v>599</v>
      </c>
    </row>
    <row r="48" spans="1:31" ht="75">
      <c r="A48" s="111">
        <v>62085</v>
      </c>
      <c r="B48" s="135" t="s">
        <v>65</v>
      </c>
      <c r="C48" s="73"/>
      <c r="D48" s="128">
        <v>5000</v>
      </c>
      <c r="E48" s="128">
        <v>5153</v>
      </c>
      <c r="F48" s="128">
        <f>D48-E48</f>
        <v>-153</v>
      </c>
      <c r="G48" s="73"/>
      <c r="H48" s="128">
        <v>6000</v>
      </c>
      <c r="I48" s="128">
        <v>10620</v>
      </c>
      <c r="J48" s="128">
        <f t="shared" si="9"/>
        <v>-4620</v>
      </c>
      <c r="K48" s="73"/>
      <c r="L48" s="128">
        <v>22000</v>
      </c>
      <c r="M48" s="128">
        <v>11029</v>
      </c>
      <c r="N48" s="128">
        <f t="shared" si="11"/>
        <v>10971</v>
      </c>
      <c r="O48" s="137" t="s">
        <v>66</v>
      </c>
      <c r="P48" s="136"/>
      <c r="Q48" s="128">
        <v>15000</v>
      </c>
      <c r="R48" s="129">
        <v>8911</v>
      </c>
      <c r="S48" s="281">
        <f t="shared" si="10"/>
        <v>-6089</v>
      </c>
      <c r="T48" s="131"/>
      <c r="U48" s="290">
        <v>10000</v>
      </c>
      <c r="V48" s="290">
        <v>9568</v>
      </c>
      <c r="W48" s="133"/>
      <c r="X48" s="398">
        <v>10000</v>
      </c>
      <c r="Y48" s="410">
        <v>9651</v>
      </c>
      <c r="Z48" s="410">
        <f t="shared" si="12"/>
        <v>349</v>
      </c>
      <c r="AA48" s="132"/>
      <c r="AB48" s="398">
        <v>10000</v>
      </c>
      <c r="AC48" s="398">
        <v>10000</v>
      </c>
      <c r="AD48" s="398">
        <v>10000</v>
      </c>
      <c r="AE48" s="254"/>
    </row>
    <row r="49" spans="1:31" ht="45">
      <c r="A49" s="111">
        <v>62025</v>
      </c>
      <c r="B49" s="135" t="s">
        <v>67</v>
      </c>
      <c r="C49" s="73"/>
      <c r="D49" s="128">
        <v>1000</v>
      </c>
      <c r="E49" s="128">
        <v>0</v>
      </c>
      <c r="F49" s="128">
        <f>D49-E49</f>
        <v>1000</v>
      </c>
      <c r="G49" s="73"/>
      <c r="H49" s="128">
        <v>2000</v>
      </c>
      <c r="I49" s="128">
        <v>1132</v>
      </c>
      <c r="J49" s="128">
        <f t="shared" si="9"/>
        <v>868</v>
      </c>
      <c r="K49" s="73"/>
      <c r="L49" s="128">
        <v>3000</v>
      </c>
      <c r="M49" s="128">
        <v>2761</v>
      </c>
      <c r="N49" s="128">
        <f t="shared" si="11"/>
        <v>239</v>
      </c>
      <c r="O49" s="145" t="s">
        <v>68</v>
      </c>
      <c r="P49" s="146"/>
      <c r="Q49" s="128">
        <v>3000</v>
      </c>
      <c r="R49" s="129">
        <v>2724</v>
      </c>
      <c r="S49" s="281">
        <f t="shared" si="10"/>
        <v>-276</v>
      </c>
      <c r="T49" s="131"/>
      <c r="U49" s="290">
        <v>2900</v>
      </c>
      <c r="V49" s="290">
        <v>1008</v>
      </c>
      <c r="W49" s="133"/>
      <c r="X49" s="398">
        <v>1200</v>
      </c>
      <c r="Y49" s="410">
        <v>0</v>
      </c>
      <c r="Z49" s="410">
        <f t="shared" si="12"/>
        <v>1200</v>
      </c>
      <c r="AA49" s="132"/>
      <c r="AB49" s="398">
        <v>5500</v>
      </c>
      <c r="AC49" s="398">
        <v>5500</v>
      </c>
      <c r="AD49" s="398">
        <v>5500</v>
      </c>
      <c r="AE49" s="254" t="s">
        <v>600</v>
      </c>
    </row>
    <row r="50" spans="1:31">
      <c r="A50" s="111">
        <v>62097</v>
      </c>
      <c r="B50" s="135" t="s">
        <v>69</v>
      </c>
      <c r="C50" s="73"/>
      <c r="D50" s="128">
        <v>13095</v>
      </c>
      <c r="E50" s="128">
        <v>6177</v>
      </c>
      <c r="F50" s="128">
        <f>D50-E50</f>
        <v>6918</v>
      </c>
      <c r="G50" s="73"/>
      <c r="H50" s="128">
        <f>(SUM(H32:H49)*15%)</f>
        <v>11493.75</v>
      </c>
      <c r="I50" s="128">
        <v>939</v>
      </c>
      <c r="J50" s="128">
        <f t="shared" si="9"/>
        <v>10554.75</v>
      </c>
      <c r="K50" s="73"/>
      <c r="L50" s="128">
        <v>11700</v>
      </c>
      <c r="M50" s="128">
        <v>4006</v>
      </c>
      <c r="N50" s="128">
        <f t="shared" si="11"/>
        <v>7694</v>
      </c>
      <c r="O50" s="128"/>
      <c r="P50" s="73"/>
      <c r="Q50" s="128">
        <v>6000</v>
      </c>
      <c r="R50" s="129">
        <v>837</v>
      </c>
      <c r="S50" s="281">
        <f t="shared" si="10"/>
        <v>-5163</v>
      </c>
      <c r="T50" s="131"/>
      <c r="U50" s="290">
        <v>2000</v>
      </c>
      <c r="V50" s="290">
        <v>6578</v>
      </c>
      <c r="W50" s="133"/>
      <c r="X50" s="398">
        <v>2000</v>
      </c>
      <c r="Y50" s="410">
        <v>5149</v>
      </c>
      <c r="Z50" s="410">
        <f t="shared" si="12"/>
        <v>-3149</v>
      </c>
      <c r="AA50" s="132" t="s">
        <v>440</v>
      </c>
      <c r="AB50" s="398">
        <v>4000</v>
      </c>
      <c r="AC50" s="398">
        <v>4000</v>
      </c>
      <c r="AD50" s="398">
        <v>4000</v>
      </c>
      <c r="AE50" s="254"/>
    </row>
    <row r="51" spans="1:31">
      <c r="A51" s="69"/>
      <c r="B51" s="147" t="s">
        <v>406</v>
      </c>
      <c r="C51" s="71"/>
      <c r="D51" s="148">
        <f>SUM(D32:D50)</f>
        <v>97895</v>
      </c>
      <c r="E51" s="148">
        <f>SUM(E32:E50)</f>
        <v>58974</v>
      </c>
      <c r="F51" s="148">
        <f>D51-E51</f>
        <v>38921</v>
      </c>
      <c r="G51" s="73"/>
      <c r="H51" s="148">
        <f>SUM(H32:H50)</f>
        <v>88118.75</v>
      </c>
      <c r="I51" s="148">
        <f>SUM(I32:I50)</f>
        <v>68734</v>
      </c>
      <c r="J51" s="128">
        <f t="shared" si="9"/>
        <v>19384.75</v>
      </c>
      <c r="K51" s="73"/>
      <c r="L51" s="148">
        <f>SUM(L32:L50)</f>
        <v>96325</v>
      </c>
      <c r="M51" s="148">
        <f>SUM(M32:M50)</f>
        <v>66870</v>
      </c>
      <c r="N51" s="148">
        <f t="shared" si="11"/>
        <v>29455</v>
      </c>
      <c r="O51" s="128"/>
      <c r="P51" s="73"/>
      <c r="Q51" s="148">
        <f>SUM(Q32:Q50)</f>
        <v>89025</v>
      </c>
      <c r="R51" s="130">
        <f>SUM(R32:R50)</f>
        <v>52103</v>
      </c>
      <c r="S51" s="281">
        <f t="shared" si="10"/>
        <v>-36922</v>
      </c>
      <c r="T51" s="131"/>
      <c r="U51" s="291">
        <f>SUM(U32:U50)</f>
        <v>62325</v>
      </c>
      <c r="V51" s="291">
        <f>SUM(V32:V50)</f>
        <v>66420</v>
      </c>
      <c r="W51" s="150"/>
      <c r="X51" s="396">
        <f>SUM(X32:X50)</f>
        <v>62275</v>
      </c>
      <c r="Y51" s="411">
        <f>SUM(Y32:Y50)</f>
        <v>58460</v>
      </c>
      <c r="Z51" s="411">
        <f>SUM(Z32:Z50)</f>
        <v>3815</v>
      </c>
      <c r="AA51" s="291"/>
      <c r="AB51" s="396">
        <f>SUM(AB32:AB50)</f>
        <v>84170</v>
      </c>
      <c r="AC51" s="396">
        <f>SUM(AC32:AC50)</f>
        <v>84170</v>
      </c>
      <c r="AD51" s="396">
        <f>SUM(AD32:AD50)</f>
        <v>84170</v>
      </c>
      <c r="AE51" s="551"/>
    </row>
    <row r="52" spans="1:31">
      <c r="A52" s="69"/>
      <c r="B52" s="151"/>
      <c r="C52" s="71"/>
      <c r="D52" s="152"/>
      <c r="E52" s="152"/>
      <c r="F52" s="152"/>
      <c r="G52" s="73"/>
      <c r="H52" s="152"/>
      <c r="I52" s="152"/>
      <c r="J52" s="153"/>
      <c r="K52" s="73"/>
      <c r="L52" s="152"/>
      <c r="M52" s="152"/>
      <c r="N52" s="153"/>
      <c r="O52" s="153"/>
      <c r="P52" s="73"/>
      <c r="Q52" s="152"/>
      <c r="R52" s="109"/>
      <c r="S52" s="109"/>
      <c r="T52" s="154"/>
      <c r="U52" s="155"/>
      <c r="V52" s="155"/>
      <c r="W52" s="156"/>
      <c r="X52" s="396"/>
      <c r="Y52" s="412"/>
      <c r="Z52" s="412"/>
      <c r="AA52" s="155"/>
      <c r="AB52" s="396"/>
      <c r="AC52" s="396"/>
      <c r="AD52" s="396"/>
      <c r="AE52" s="552"/>
    </row>
    <row r="53" spans="1:31" ht="15">
      <c r="A53" s="69"/>
      <c r="B53" s="157" t="s">
        <v>219</v>
      </c>
      <c r="C53" s="71"/>
      <c r="D53" s="158"/>
      <c r="E53" s="158"/>
      <c r="F53" s="158"/>
      <c r="G53" s="73"/>
      <c r="H53" s="158"/>
      <c r="I53" s="158"/>
      <c r="J53" s="159"/>
      <c r="K53" s="73"/>
      <c r="L53" s="158"/>
      <c r="M53" s="158"/>
      <c r="N53" s="159"/>
      <c r="O53" s="159"/>
      <c r="P53" s="73"/>
      <c r="Q53" s="158"/>
      <c r="R53" s="160"/>
      <c r="S53" s="160"/>
      <c r="T53" s="161"/>
      <c r="U53" s="302"/>
      <c r="V53" s="302"/>
      <c r="W53" s="163"/>
      <c r="X53" s="396"/>
      <c r="Y53" s="413"/>
      <c r="Z53" s="413"/>
      <c r="AA53" s="378" t="s">
        <v>525</v>
      </c>
      <c r="AB53" s="396"/>
      <c r="AC53" s="396"/>
      <c r="AD53" s="396"/>
      <c r="AE53" s="544" t="s">
        <v>525</v>
      </c>
    </row>
    <row r="54" spans="1:31" ht="15" hidden="1">
      <c r="A54" s="69"/>
      <c r="B54" s="157" t="s">
        <v>220</v>
      </c>
      <c r="C54" s="71"/>
      <c r="D54" s="158"/>
      <c r="E54" s="158"/>
      <c r="F54" s="158"/>
      <c r="G54" s="73"/>
      <c r="H54" s="158"/>
      <c r="I54" s="158"/>
      <c r="J54" s="159"/>
      <c r="K54" s="73"/>
      <c r="L54" s="158"/>
      <c r="M54" s="158"/>
      <c r="N54" s="159"/>
      <c r="O54" s="159"/>
      <c r="P54" s="73"/>
      <c r="Q54" s="164"/>
      <c r="R54" s="165"/>
      <c r="S54" s="165"/>
      <c r="T54" s="161"/>
      <c r="U54" s="302"/>
      <c r="V54" s="302"/>
      <c r="W54" s="163"/>
      <c r="X54" s="396"/>
      <c r="Y54" s="413"/>
      <c r="Z54" s="413"/>
      <c r="AA54" s="378" t="s">
        <v>525</v>
      </c>
      <c r="AB54" s="398"/>
      <c r="AC54" s="398"/>
      <c r="AD54" s="398"/>
      <c r="AE54" s="544" t="s">
        <v>525</v>
      </c>
    </row>
    <row r="55" spans="1:31" ht="15" hidden="1">
      <c r="A55" s="69"/>
      <c r="B55" s="167" t="s">
        <v>389</v>
      </c>
      <c r="C55" s="71"/>
      <c r="D55" s="158"/>
      <c r="E55" s="158"/>
      <c r="F55" s="158"/>
      <c r="G55" s="73"/>
      <c r="H55" s="158"/>
      <c r="I55" s="158"/>
      <c r="J55" s="159"/>
      <c r="K55" s="73"/>
      <c r="L55" s="158"/>
      <c r="M55" s="158"/>
      <c r="N55" s="159"/>
      <c r="O55" s="159"/>
      <c r="P55" s="168"/>
      <c r="Q55" s="159"/>
      <c r="R55" s="169">
        <v>864</v>
      </c>
      <c r="S55" s="169"/>
      <c r="T55" s="161"/>
      <c r="U55" s="303"/>
      <c r="V55" s="303">
        <v>700</v>
      </c>
      <c r="W55" s="163"/>
      <c r="X55" s="396"/>
      <c r="Y55" s="414">
        <v>700</v>
      </c>
      <c r="Z55" s="414">
        <v>700</v>
      </c>
      <c r="AA55" s="378" t="s">
        <v>525</v>
      </c>
      <c r="AB55" s="398"/>
      <c r="AC55" s="398"/>
      <c r="AD55" s="398"/>
      <c r="AE55" s="544" t="s">
        <v>525</v>
      </c>
    </row>
    <row r="56" spans="1:31" ht="15" hidden="1">
      <c r="A56" s="69"/>
      <c r="B56" s="167" t="s">
        <v>390</v>
      </c>
      <c r="C56" s="71"/>
      <c r="D56" s="158"/>
      <c r="E56" s="158"/>
      <c r="F56" s="158"/>
      <c r="G56" s="73"/>
      <c r="H56" s="158"/>
      <c r="I56" s="158"/>
      <c r="J56" s="159"/>
      <c r="K56" s="73"/>
      <c r="L56" s="158"/>
      <c r="M56" s="158"/>
      <c r="N56" s="159"/>
      <c r="O56" s="159"/>
      <c r="P56" s="168"/>
      <c r="Q56" s="159"/>
      <c r="R56" s="169">
        <v>4644</v>
      </c>
      <c r="S56" s="169"/>
      <c r="T56" s="161"/>
      <c r="U56" s="303"/>
      <c r="V56" s="303"/>
      <c r="W56" s="163"/>
      <c r="X56" s="396"/>
      <c r="Y56" s="414"/>
      <c r="Z56" s="414"/>
      <c r="AA56" s="378" t="s">
        <v>525</v>
      </c>
      <c r="AB56" s="398"/>
      <c r="AC56" s="398"/>
      <c r="AD56" s="398"/>
      <c r="AE56" s="544" t="s">
        <v>525</v>
      </c>
    </row>
    <row r="57" spans="1:31" ht="15" hidden="1">
      <c r="A57" s="69"/>
      <c r="B57" s="167" t="s">
        <v>391</v>
      </c>
      <c r="C57" s="71"/>
      <c r="D57" s="158"/>
      <c r="E57" s="158"/>
      <c r="F57" s="158"/>
      <c r="G57" s="73"/>
      <c r="H57" s="158"/>
      <c r="I57" s="158"/>
      <c r="J57" s="159"/>
      <c r="K57" s="73"/>
      <c r="L57" s="158"/>
      <c r="M57" s="158"/>
      <c r="N57" s="159"/>
      <c r="O57" s="159"/>
      <c r="P57" s="168"/>
      <c r="Q57" s="159"/>
      <c r="R57" s="169">
        <v>4752</v>
      </c>
      <c r="S57" s="169"/>
      <c r="T57" s="161"/>
      <c r="U57" s="303"/>
      <c r="V57" s="303"/>
      <c r="W57" s="163"/>
      <c r="X57" s="396"/>
      <c r="Y57" s="414"/>
      <c r="Z57" s="414"/>
      <c r="AA57" s="378" t="s">
        <v>525</v>
      </c>
      <c r="AB57" s="398"/>
      <c r="AC57" s="398"/>
      <c r="AD57" s="398"/>
      <c r="AE57" s="544" t="s">
        <v>525</v>
      </c>
    </row>
    <row r="58" spans="1:31" ht="15" hidden="1">
      <c r="A58" s="69"/>
      <c r="B58" s="167" t="s">
        <v>392</v>
      </c>
      <c r="C58" s="71"/>
      <c r="D58" s="158"/>
      <c r="E58" s="158"/>
      <c r="F58" s="158"/>
      <c r="G58" s="73"/>
      <c r="H58" s="158"/>
      <c r="I58" s="158"/>
      <c r="J58" s="159"/>
      <c r="K58" s="73"/>
      <c r="L58" s="158"/>
      <c r="M58" s="158"/>
      <c r="N58" s="159"/>
      <c r="O58" s="159"/>
      <c r="P58" s="168"/>
      <c r="Q58" s="159"/>
      <c r="R58" s="169">
        <v>13932</v>
      </c>
      <c r="S58" s="169"/>
      <c r="T58" s="161"/>
      <c r="U58" s="303"/>
      <c r="V58" s="303"/>
      <c r="W58" s="163"/>
      <c r="X58" s="396"/>
      <c r="Y58" s="414"/>
      <c r="Z58" s="414"/>
      <c r="AA58" s="378" t="s">
        <v>525</v>
      </c>
      <c r="AB58" s="398"/>
      <c r="AC58" s="398"/>
      <c r="AD58" s="398"/>
      <c r="AE58" s="544" t="s">
        <v>525</v>
      </c>
    </row>
    <row r="59" spans="1:31" ht="15" hidden="1">
      <c r="A59" s="69"/>
      <c r="B59" s="167" t="s">
        <v>399</v>
      </c>
      <c r="C59" s="71"/>
      <c r="D59" s="158"/>
      <c r="E59" s="158"/>
      <c r="F59" s="158"/>
      <c r="G59" s="73"/>
      <c r="H59" s="158"/>
      <c r="I59" s="158"/>
      <c r="J59" s="159"/>
      <c r="K59" s="73"/>
      <c r="L59" s="158"/>
      <c r="M59" s="158"/>
      <c r="N59" s="159"/>
      <c r="O59" s="159"/>
      <c r="P59" s="168"/>
      <c r="Q59" s="159"/>
      <c r="R59" s="169">
        <v>4968</v>
      </c>
      <c r="S59" s="169"/>
      <c r="T59" s="161"/>
      <c r="U59" s="303"/>
      <c r="V59" s="303"/>
      <c r="W59" s="163"/>
      <c r="X59" s="396"/>
      <c r="Y59" s="414"/>
      <c r="Z59" s="414"/>
      <c r="AA59" s="378" t="s">
        <v>525</v>
      </c>
      <c r="AB59" s="398"/>
      <c r="AC59" s="398"/>
      <c r="AD59" s="398"/>
      <c r="AE59" s="544" t="s">
        <v>525</v>
      </c>
    </row>
    <row r="60" spans="1:31" ht="15" hidden="1">
      <c r="A60" s="69"/>
      <c r="B60" s="167" t="s">
        <v>393</v>
      </c>
      <c r="C60" s="71"/>
      <c r="D60" s="158"/>
      <c r="E60" s="158"/>
      <c r="F60" s="158"/>
      <c r="G60" s="73"/>
      <c r="H60" s="158"/>
      <c r="I60" s="158"/>
      <c r="J60" s="159"/>
      <c r="K60" s="73"/>
      <c r="L60" s="158"/>
      <c r="M60" s="158"/>
      <c r="N60" s="159"/>
      <c r="O60" s="159"/>
      <c r="P60" s="168"/>
      <c r="Q60" s="159"/>
      <c r="R60" s="169">
        <v>9504</v>
      </c>
      <c r="S60" s="169"/>
      <c r="T60" s="161"/>
      <c r="U60" s="303"/>
      <c r="V60" s="303"/>
      <c r="W60" s="163"/>
      <c r="X60" s="396"/>
      <c r="Y60" s="414"/>
      <c r="Z60" s="414"/>
      <c r="AA60" s="378" t="s">
        <v>525</v>
      </c>
      <c r="AB60" s="398"/>
      <c r="AC60" s="398"/>
      <c r="AD60" s="398"/>
      <c r="AE60" s="544" t="s">
        <v>525</v>
      </c>
    </row>
    <row r="61" spans="1:31" ht="15" hidden="1">
      <c r="A61" s="69"/>
      <c r="B61" s="167" t="s">
        <v>394</v>
      </c>
      <c r="C61" s="71"/>
      <c r="D61" s="158"/>
      <c r="E61" s="158"/>
      <c r="F61" s="158"/>
      <c r="G61" s="73"/>
      <c r="H61" s="158"/>
      <c r="I61" s="158"/>
      <c r="J61" s="159"/>
      <c r="K61" s="73"/>
      <c r="L61" s="158"/>
      <c r="M61" s="158"/>
      <c r="N61" s="159"/>
      <c r="O61" s="159"/>
      <c r="P61" s="168"/>
      <c r="Q61" s="159"/>
      <c r="R61" s="169">
        <v>4226.04</v>
      </c>
      <c r="S61" s="169"/>
      <c r="T61" s="161"/>
      <c r="U61" s="303">
        <v>438</v>
      </c>
      <c r="V61" s="303">
        <v>2218</v>
      </c>
      <c r="W61" s="163"/>
      <c r="X61" s="415"/>
      <c r="Y61" s="414">
        <v>2218</v>
      </c>
      <c r="Z61" s="414">
        <v>2218</v>
      </c>
      <c r="AA61" s="378" t="s">
        <v>525</v>
      </c>
      <c r="AB61" s="398"/>
      <c r="AC61" s="398"/>
      <c r="AD61" s="398"/>
      <c r="AE61" s="544" t="s">
        <v>525</v>
      </c>
    </row>
    <row r="62" spans="1:31" ht="15" hidden="1">
      <c r="A62" s="69"/>
      <c r="B62" s="167" t="s">
        <v>224</v>
      </c>
      <c r="C62" s="71"/>
      <c r="D62" s="158"/>
      <c r="E62" s="158"/>
      <c r="F62" s="158"/>
      <c r="G62" s="73"/>
      <c r="H62" s="158"/>
      <c r="I62" s="158"/>
      <c r="J62" s="159"/>
      <c r="K62" s="73"/>
      <c r="L62" s="158"/>
      <c r="M62" s="158"/>
      <c r="N62" s="159"/>
      <c r="O62" s="159"/>
      <c r="P62" s="168"/>
      <c r="Q62" s="161"/>
      <c r="R62" s="170"/>
      <c r="S62" s="170"/>
      <c r="T62" s="161"/>
      <c r="U62" s="303">
        <v>40000</v>
      </c>
      <c r="V62" s="303">
        <v>59600</v>
      </c>
      <c r="W62" s="163"/>
      <c r="X62" s="415"/>
      <c r="Y62" s="414">
        <v>59600</v>
      </c>
      <c r="Z62" s="414">
        <v>59600</v>
      </c>
      <c r="AA62" s="378" t="s">
        <v>525</v>
      </c>
      <c r="AB62" s="398"/>
      <c r="AC62" s="398"/>
      <c r="AD62" s="398"/>
      <c r="AE62" s="544" t="s">
        <v>525</v>
      </c>
    </row>
    <row r="63" spans="1:31" ht="15" hidden="1">
      <c r="A63" s="69"/>
      <c r="B63" s="167" t="s">
        <v>225</v>
      </c>
      <c r="C63" s="71"/>
      <c r="D63" s="158"/>
      <c r="E63" s="158"/>
      <c r="F63" s="158"/>
      <c r="G63" s="73"/>
      <c r="H63" s="158"/>
      <c r="I63" s="158"/>
      <c r="J63" s="159"/>
      <c r="K63" s="73"/>
      <c r="L63" s="158"/>
      <c r="M63" s="158"/>
      <c r="N63" s="159"/>
      <c r="O63" s="159"/>
      <c r="P63" s="168"/>
      <c r="Q63" s="161"/>
      <c r="R63" s="170"/>
      <c r="S63" s="170"/>
      <c r="T63" s="161"/>
      <c r="U63" s="303">
        <v>5000</v>
      </c>
      <c r="V63" s="303">
        <v>6850</v>
      </c>
      <c r="W63" s="163"/>
      <c r="X63" s="415"/>
      <c r="Y63" s="414">
        <v>6850</v>
      </c>
      <c r="Z63" s="414">
        <v>6850</v>
      </c>
      <c r="AA63" s="378" t="s">
        <v>525</v>
      </c>
      <c r="AB63" s="398"/>
      <c r="AC63" s="398"/>
      <c r="AD63" s="398"/>
      <c r="AE63" s="544" t="s">
        <v>525</v>
      </c>
    </row>
    <row r="64" spans="1:31" ht="15" hidden="1">
      <c r="A64" s="69"/>
      <c r="B64" s="167" t="s">
        <v>395</v>
      </c>
      <c r="C64" s="71"/>
      <c r="D64" s="158"/>
      <c r="E64" s="158"/>
      <c r="F64" s="158"/>
      <c r="G64" s="73"/>
      <c r="H64" s="158"/>
      <c r="I64" s="158"/>
      <c r="J64" s="159"/>
      <c r="K64" s="73"/>
      <c r="L64" s="158"/>
      <c r="M64" s="158"/>
      <c r="N64" s="159"/>
      <c r="O64" s="159"/>
      <c r="P64" s="168"/>
      <c r="Q64" s="161"/>
      <c r="R64" s="170"/>
      <c r="S64" s="170"/>
      <c r="T64" s="161"/>
      <c r="U64" s="303">
        <v>20000</v>
      </c>
      <c r="V64" s="303">
        <v>210</v>
      </c>
      <c r="W64" s="163"/>
      <c r="X64" s="415"/>
      <c r="Y64" s="414">
        <v>210</v>
      </c>
      <c r="Z64" s="414">
        <v>210</v>
      </c>
      <c r="AA64" s="378" t="s">
        <v>525</v>
      </c>
      <c r="AB64" s="398"/>
      <c r="AC64" s="398"/>
      <c r="AD64" s="398"/>
      <c r="AE64" s="544" t="s">
        <v>525</v>
      </c>
    </row>
    <row r="65" spans="1:31" ht="30" hidden="1">
      <c r="A65" s="69"/>
      <c r="B65" s="171" t="s">
        <v>429</v>
      </c>
      <c r="C65" s="71"/>
      <c r="D65" s="158"/>
      <c r="E65" s="158"/>
      <c r="F65" s="158"/>
      <c r="G65" s="73"/>
      <c r="H65" s="158"/>
      <c r="I65" s="158"/>
      <c r="J65" s="159"/>
      <c r="K65" s="73"/>
      <c r="L65" s="158"/>
      <c r="M65" s="158"/>
      <c r="N65" s="159"/>
      <c r="O65" s="159"/>
      <c r="P65" s="168"/>
      <c r="Q65" s="161"/>
      <c r="R65" s="170"/>
      <c r="S65" s="170"/>
      <c r="T65" s="161"/>
      <c r="U65" s="303">
        <v>50000</v>
      </c>
      <c r="V65" s="303">
        <v>31455</v>
      </c>
      <c r="W65" s="163"/>
      <c r="X65" s="415"/>
      <c r="Y65" s="414">
        <v>31455</v>
      </c>
      <c r="Z65" s="414">
        <v>31455</v>
      </c>
      <c r="AA65" s="378" t="s">
        <v>525</v>
      </c>
      <c r="AB65" s="398"/>
      <c r="AC65" s="398"/>
      <c r="AD65" s="398"/>
      <c r="AE65" s="544" t="s">
        <v>525</v>
      </c>
    </row>
    <row r="66" spans="1:31" ht="15" hidden="1">
      <c r="A66" s="69"/>
      <c r="B66" s="167" t="s">
        <v>226</v>
      </c>
      <c r="C66" s="71"/>
      <c r="D66" s="158"/>
      <c r="E66" s="158"/>
      <c r="F66" s="158"/>
      <c r="G66" s="73"/>
      <c r="H66" s="158"/>
      <c r="I66" s="158"/>
      <c r="J66" s="159"/>
      <c r="K66" s="73"/>
      <c r="L66" s="158"/>
      <c r="M66" s="158"/>
      <c r="N66" s="159"/>
      <c r="O66" s="159"/>
      <c r="P66" s="168"/>
      <c r="Q66" s="161"/>
      <c r="R66" s="170"/>
      <c r="S66" s="170"/>
      <c r="T66" s="161"/>
      <c r="U66" s="303">
        <v>11000</v>
      </c>
      <c r="V66" s="303">
        <v>4860</v>
      </c>
      <c r="W66" s="163"/>
      <c r="X66" s="415"/>
      <c r="Y66" s="414">
        <v>4860</v>
      </c>
      <c r="Z66" s="414">
        <v>4860</v>
      </c>
      <c r="AA66" s="378" t="s">
        <v>525</v>
      </c>
      <c r="AB66" s="398"/>
      <c r="AC66" s="398"/>
      <c r="AD66" s="398"/>
      <c r="AE66" s="544" t="s">
        <v>525</v>
      </c>
    </row>
    <row r="67" spans="1:31" ht="15" hidden="1">
      <c r="A67" s="69"/>
      <c r="B67" s="167" t="s">
        <v>227</v>
      </c>
      <c r="C67" s="71"/>
      <c r="D67" s="158"/>
      <c r="E67" s="158"/>
      <c r="F67" s="158"/>
      <c r="G67" s="73"/>
      <c r="H67" s="158"/>
      <c r="I67" s="158"/>
      <c r="J67" s="159"/>
      <c r="K67" s="73"/>
      <c r="L67" s="158"/>
      <c r="M67" s="158"/>
      <c r="N67" s="159"/>
      <c r="O67" s="159"/>
      <c r="P67" s="168"/>
      <c r="Q67" s="161"/>
      <c r="R67" s="170"/>
      <c r="S67" s="170"/>
      <c r="T67" s="161"/>
      <c r="U67" s="303">
        <v>12000</v>
      </c>
      <c r="V67" s="303">
        <v>4350</v>
      </c>
      <c r="W67" s="163"/>
      <c r="X67" s="415"/>
      <c r="Y67" s="414">
        <v>4350</v>
      </c>
      <c r="Z67" s="414">
        <v>4350</v>
      </c>
      <c r="AA67" s="378" t="s">
        <v>525</v>
      </c>
      <c r="AB67" s="398"/>
      <c r="AC67" s="398"/>
      <c r="AD67" s="398"/>
      <c r="AE67" s="544" t="s">
        <v>525</v>
      </c>
    </row>
    <row r="68" spans="1:31" ht="15" hidden="1">
      <c r="A68" s="69"/>
      <c r="B68" s="167" t="s">
        <v>230</v>
      </c>
      <c r="C68" s="71"/>
      <c r="D68" s="158"/>
      <c r="E68" s="158"/>
      <c r="F68" s="158"/>
      <c r="G68" s="73"/>
      <c r="H68" s="158"/>
      <c r="I68" s="158"/>
      <c r="J68" s="159"/>
      <c r="K68" s="73"/>
      <c r="L68" s="158"/>
      <c r="M68" s="158"/>
      <c r="N68" s="159"/>
      <c r="O68" s="159"/>
      <c r="P68" s="168"/>
      <c r="Q68" s="161"/>
      <c r="R68" s="170"/>
      <c r="S68" s="170"/>
      <c r="T68" s="161"/>
      <c r="U68" s="303">
        <v>10000</v>
      </c>
      <c r="V68" s="303">
        <v>0</v>
      </c>
      <c r="W68" s="163"/>
      <c r="X68" s="415"/>
      <c r="Y68" s="414">
        <v>0</v>
      </c>
      <c r="Z68" s="414">
        <v>0</v>
      </c>
      <c r="AA68" s="378" t="s">
        <v>525</v>
      </c>
      <c r="AB68" s="398"/>
      <c r="AC68" s="398"/>
      <c r="AD68" s="398"/>
      <c r="AE68" s="544" t="s">
        <v>525</v>
      </c>
    </row>
    <row r="69" spans="1:31" ht="15" hidden="1">
      <c r="A69" s="69"/>
      <c r="B69" s="167" t="s">
        <v>396</v>
      </c>
      <c r="C69" s="71"/>
      <c r="D69" s="158"/>
      <c r="E69" s="158"/>
      <c r="F69" s="158"/>
      <c r="G69" s="73"/>
      <c r="H69" s="158"/>
      <c r="I69" s="158"/>
      <c r="J69" s="159"/>
      <c r="K69" s="73"/>
      <c r="L69" s="158"/>
      <c r="M69" s="158"/>
      <c r="N69" s="159"/>
      <c r="O69" s="159"/>
      <c r="P69" s="168"/>
      <c r="Q69" s="161"/>
      <c r="R69" s="170">
        <v>359.21</v>
      </c>
      <c r="S69" s="170"/>
      <c r="T69" s="161"/>
      <c r="U69" s="304">
        <v>7422</v>
      </c>
      <c r="V69" s="304">
        <v>5501</v>
      </c>
      <c r="W69" s="163"/>
      <c r="X69" s="415"/>
      <c r="Y69" s="414">
        <v>5501</v>
      </c>
      <c r="Z69" s="414">
        <v>5501</v>
      </c>
      <c r="AA69" s="378" t="s">
        <v>525</v>
      </c>
      <c r="AB69" s="398"/>
      <c r="AC69" s="398"/>
      <c r="AD69" s="398"/>
      <c r="AE69" s="544" t="s">
        <v>525</v>
      </c>
    </row>
    <row r="70" spans="1:31" ht="15" hidden="1">
      <c r="A70" s="69"/>
      <c r="B70" s="157"/>
      <c r="C70" s="71"/>
      <c r="D70" s="158"/>
      <c r="E70" s="158"/>
      <c r="F70" s="158"/>
      <c r="G70" s="73"/>
      <c r="H70" s="158"/>
      <c r="I70" s="158"/>
      <c r="J70" s="159"/>
      <c r="K70" s="73"/>
      <c r="L70" s="158"/>
      <c r="M70" s="158"/>
      <c r="N70" s="159"/>
      <c r="O70" s="159"/>
      <c r="P70" s="168"/>
      <c r="Q70" s="161"/>
      <c r="R70" s="170"/>
      <c r="S70" s="170"/>
      <c r="T70" s="161"/>
      <c r="U70" s="303"/>
      <c r="V70" s="303"/>
      <c r="W70" s="163"/>
      <c r="X70" s="396"/>
      <c r="Y70" s="414"/>
      <c r="Z70" s="414"/>
      <c r="AA70" s="378" t="s">
        <v>525</v>
      </c>
      <c r="AB70" s="398"/>
      <c r="AC70" s="398"/>
      <c r="AD70" s="398"/>
      <c r="AE70" s="544" t="s">
        <v>525</v>
      </c>
    </row>
    <row r="71" spans="1:31" ht="15" hidden="1">
      <c r="A71" s="69"/>
      <c r="B71" s="157" t="s">
        <v>221</v>
      </c>
      <c r="C71" s="71"/>
      <c r="D71" s="158"/>
      <c r="E71" s="158"/>
      <c r="F71" s="158"/>
      <c r="G71" s="73"/>
      <c r="H71" s="158"/>
      <c r="I71" s="158"/>
      <c r="J71" s="159"/>
      <c r="K71" s="73"/>
      <c r="L71" s="158"/>
      <c r="M71" s="158"/>
      <c r="N71" s="159"/>
      <c r="O71" s="159"/>
      <c r="P71" s="168"/>
      <c r="Q71" s="161"/>
      <c r="R71" s="170"/>
      <c r="S71" s="170"/>
      <c r="T71" s="161"/>
      <c r="U71" s="303"/>
      <c r="V71" s="303"/>
      <c r="W71" s="163"/>
      <c r="X71" s="396"/>
      <c r="Y71" s="414"/>
      <c r="Z71" s="414"/>
      <c r="AA71" s="378" t="s">
        <v>525</v>
      </c>
      <c r="AB71" s="398"/>
      <c r="AC71" s="398"/>
      <c r="AD71" s="398"/>
      <c r="AE71" s="544" t="s">
        <v>525</v>
      </c>
    </row>
    <row r="72" spans="1:31" ht="15" hidden="1">
      <c r="A72" s="69"/>
      <c r="B72" s="167" t="s">
        <v>228</v>
      </c>
      <c r="C72" s="71"/>
      <c r="D72" s="158"/>
      <c r="E72" s="158"/>
      <c r="F72" s="158"/>
      <c r="G72" s="73"/>
      <c r="H72" s="158"/>
      <c r="I72" s="158"/>
      <c r="J72" s="159"/>
      <c r="K72" s="73"/>
      <c r="L72" s="158"/>
      <c r="M72" s="158"/>
      <c r="N72" s="159"/>
      <c r="O72" s="159"/>
      <c r="P72" s="168"/>
      <c r="Q72" s="161"/>
      <c r="R72" s="170"/>
      <c r="S72" s="170"/>
      <c r="T72" s="161"/>
      <c r="U72" s="305">
        <v>5000</v>
      </c>
      <c r="V72" s="305">
        <v>0</v>
      </c>
      <c r="W72" s="163"/>
      <c r="X72" s="398"/>
      <c r="Y72" s="416">
        <v>0</v>
      </c>
      <c r="Z72" s="416">
        <v>0</v>
      </c>
      <c r="AA72" s="378" t="s">
        <v>525</v>
      </c>
      <c r="AB72" s="398"/>
      <c r="AC72" s="398"/>
      <c r="AD72" s="398"/>
      <c r="AE72" s="544" t="s">
        <v>525</v>
      </c>
    </row>
    <row r="73" spans="1:31" ht="15" hidden="1">
      <c r="A73" s="69"/>
      <c r="B73" s="167" t="s">
        <v>229</v>
      </c>
      <c r="C73" s="71"/>
      <c r="D73" s="158"/>
      <c r="E73" s="158"/>
      <c r="F73" s="158"/>
      <c r="G73" s="73"/>
      <c r="H73" s="158"/>
      <c r="I73" s="158"/>
      <c r="J73" s="159"/>
      <c r="K73" s="73"/>
      <c r="L73" s="158"/>
      <c r="M73" s="158"/>
      <c r="N73" s="159"/>
      <c r="O73" s="159"/>
      <c r="P73" s="168"/>
      <c r="Q73" s="161"/>
      <c r="R73" s="170"/>
      <c r="S73" s="170"/>
      <c r="T73" s="161"/>
      <c r="U73" s="305">
        <v>500</v>
      </c>
      <c r="V73" s="305">
        <v>0</v>
      </c>
      <c r="W73" s="163"/>
      <c r="X73" s="398"/>
      <c r="Y73" s="416">
        <v>0</v>
      </c>
      <c r="Z73" s="416">
        <v>0</v>
      </c>
      <c r="AA73" s="378" t="s">
        <v>525</v>
      </c>
      <c r="AB73" s="398"/>
      <c r="AC73" s="398"/>
      <c r="AD73" s="398"/>
      <c r="AE73" s="544" t="s">
        <v>525</v>
      </c>
    </row>
    <row r="74" spans="1:31" ht="30" hidden="1">
      <c r="A74" s="69"/>
      <c r="B74" s="171" t="s">
        <v>408</v>
      </c>
      <c r="C74" s="71"/>
      <c r="D74" s="158"/>
      <c r="E74" s="158"/>
      <c r="F74" s="158"/>
      <c r="G74" s="73"/>
      <c r="H74" s="158"/>
      <c r="I74" s="158"/>
      <c r="J74" s="159"/>
      <c r="K74" s="73"/>
      <c r="L74" s="158"/>
      <c r="M74" s="158"/>
      <c r="N74" s="159"/>
      <c r="O74" s="159"/>
      <c r="P74" s="168"/>
      <c r="Q74" s="161"/>
      <c r="R74" s="170"/>
      <c r="S74" s="170"/>
      <c r="T74" s="161"/>
      <c r="U74" s="305">
        <v>5000</v>
      </c>
      <c r="V74" s="305">
        <v>0</v>
      </c>
      <c r="W74" s="163"/>
      <c r="X74" s="398"/>
      <c r="Y74" s="416">
        <v>0</v>
      </c>
      <c r="Z74" s="416">
        <v>0</v>
      </c>
      <c r="AA74" s="378" t="s">
        <v>525</v>
      </c>
      <c r="AB74" s="398"/>
      <c r="AC74" s="398"/>
      <c r="AD74" s="398"/>
      <c r="AE74" s="544" t="s">
        <v>525</v>
      </c>
    </row>
    <row r="75" spans="1:31" ht="15" hidden="1">
      <c r="A75" s="69"/>
      <c r="B75" s="167" t="s">
        <v>397</v>
      </c>
      <c r="C75" s="71"/>
      <c r="D75" s="158"/>
      <c r="E75" s="158"/>
      <c r="F75" s="158"/>
      <c r="G75" s="73"/>
      <c r="H75" s="158"/>
      <c r="I75" s="158"/>
      <c r="J75" s="159"/>
      <c r="K75" s="73"/>
      <c r="L75" s="158"/>
      <c r="M75" s="158"/>
      <c r="N75" s="159"/>
      <c r="O75" s="159"/>
      <c r="P75" s="168"/>
      <c r="Q75" s="161"/>
      <c r="R75" s="170"/>
      <c r="S75" s="170"/>
      <c r="T75" s="161"/>
      <c r="U75" s="305">
        <v>1800</v>
      </c>
      <c r="V75" s="305">
        <v>0</v>
      </c>
      <c r="W75" s="163"/>
      <c r="X75" s="398"/>
      <c r="Y75" s="416">
        <v>0</v>
      </c>
      <c r="Z75" s="416">
        <v>0</v>
      </c>
      <c r="AA75" s="378" t="s">
        <v>525</v>
      </c>
      <c r="AB75" s="398"/>
      <c r="AC75" s="398"/>
      <c r="AD75" s="398"/>
      <c r="AE75" s="544" t="s">
        <v>525</v>
      </c>
    </row>
    <row r="76" spans="1:31" ht="15" hidden="1">
      <c r="A76" s="69"/>
      <c r="B76" s="167" t="s">
        <v>398</v>
      </c>
      <c r="C76" s="71"/>
      <c r="D76" s="158"/>
      <c r="E76" s="158"/>
      <c r="F76" s="158"/>
      <c r="G76" s="73"/>
      <c r="H76" s="158"/>
      <c r="I76" s="158"/>
      <c r="J76" s="159"/>
      <c r="K76" s="73"/>
      <c r="L76" s="158"/>
      <c r="M76" s="158"/>
      <c r="N76" s="159"/>
      <c r="O76" s="159"/>
      <c r="P76" s="168"/>
      <c r="Q76" s="161"/>
      <c r="R76" s="170"/>
      <c r="S76" s="170"/>
      <c r="T76" s="161"/>
      <c r="U76" s="305">
        <v>3000</v>
      </c>
      <c r="V76" s="305">
        <v>0</v>
      </c>
      <c r="W76" s="163"/>
      <c r="X76" s="398"/>
      <c r="Y76" s="416"/>
      <c r="Z76" s="416"/>
      <c r="AA76" s="378" t="s">
        <v>525</v>
      </c>
      <c r="AB76" s="398"/>
      <c r="AC76" s="398"/>
      <c r="AD76" s="398"/>
      <c r="AE76" s="544" t="s">
        <v>525</v>
      </c>
    </row>
    <row r="77" spans="1:31" hidden="1">
      <c r="A77" s="69"/>
      <c r="B77" s="167"/>
      <c r="C77" s="71"/>
      <c r="D77" s="158"/>
      <c r="E77" s="158"/>
      <c r="F77" s="158"/>
      <c r="G77" s="73"/>
      <c r="H77" s="158"/>
      <c r="I77" s="158"/>
      <c r="J77" s="159"/>
      <c r="K77" s="73"/>
      <c r="L77" s="158"/>
      <c r="M77" s="158"/>
      <c r="N77" s="159"/>
      <c r="O77" s="159"/>
      <c r="P77" s="168"/>
      <c r="Q77" s="161"/>
      <c r="R77" s="170"/>
      <c r="S77" s="170"/>
      <c r="T77" s="161"/>
      <c r="U77" s="305"/>
      <c r="V77" s="305"/>
      <c r="W77" s="163"/>
      <c r="X77" s="398"/>
      <c r="Y77" s="416"/>
      <c r="Z77" s="416"/>
      <c r="AA77" s="378"/>
      <c r="AB77" s="398"/>
      <c r="AC77" s="398"/>
      <c r="AD77" s="398"/>
      <c r="AE77" s="544"/>
    </row>
    <row r="78" spans="1:31" ht="15" hidden="1">
      <c r="A78" s="69"/>
      <c r="B78" s="543" t="s">
        <v>616</v>
      </c>
      <c r="C78" s="71"/>
      <c r="D78" s="158"/>
      <c r="E78" s="158"/>
      <c r="F78" s="158"/>
      <c r="G78" s="73"/>
      <c r="H78" s="158"/>
      <c r="I78" s="158"/>
      <c r="J78" s="159"/>
      <c r="K78" s="73"/>
      <c r="L78" s="158"/>
      <c r="M78" s="158"/>
      <c r="N78" s="159"/>
      <c r="O78" s="159"/>
      <c r="P78" s="168"/>
      <c r="Q78" s="161"/>
      <c r="R78" s="170"/>
      <c r="S78" s="170"/>
      <c r="T78" s="161"/>
      <c r="U78" s="305"/>
      <c r="V78" s="305"/>
      <c r="W78" s="163"/>
      <c r="X78" s="398"/>
      <c r="Y78" s="416"/>
      <c r="Z78" s="416"/>
      <c r="AA78" s="378"/>
      <c r="AB78" s="398"/>
      <c r="AC78" s="398"/>
      <c r="AD78" s="398"/>
      <c r="AE78" s="544"/>
    </row>
    <row r="79" spans="1:31" ht="15" hidden="1">
      <c r="A79" s="69"/>
      <c r="B79" s="171" t="s">
        <v>673</v>
      </c>
      <c r="C79" s="71"/>
      <c r="D79" s="158"/>
      <c r="E79" s="158"/>
      <c r="F79" s="158"/>
      <c r="G79" s="73"/>
      <c r="H79" s="158"/>
      <c r="I79" s="158"/>
      <c r="J79" s="159"/>
      <c r="K79" s="73"/>
      <c r="L79" s="158"/>
      <c r="M79" s="158"/>
      <c r="N79" s="159"/>
      <c r="O79" s="159"/>
      <c r="P79" s="168"/>
      <c r="Q79" s="161"/>
      <c r="R79" s="170"/>
      <c r="S79" s="170"/>
      <c r="T79" s="161"/>
      <c r="U79" s="305"/>
      <c r="V79" s="305"/>
      <c r="W79" s="163"/>
      <c r="X79" s="398"/>
      <c r="Y79" s="416"/>
      <c r="Z79" s="416"/>
      <c r="AA79" s="378"/>
      <c r="AB79" s="398">
        <v>800</v>
      </c>
      <c r="AC79" s="398">
        <v>800</v>
      </c>
      <c r="AD79" s="398">
        <v>800</v>
      </c>
      <c r="AE79" s="544" t="s">
        <v>624</v>
      </c>
    </row>
    <row r="80" spans="1:31" ht="15" hidden="1">
      <c r="A80" s="69"/>
      <c r="B80" s="171" t="s">
        <v>674</v>
      </c>
      <c r="C80" s="71"/>
      <c r="D80" s="158"/>
      <c r="E80" s="158"/>
      <c r="F80" s="158"/>
      <c r="G80" s="73"/>
      <c r="H80" s="158"/>
      <c r="I80" s="158"/>
      <c r="J80" s="159"/>
      <c r="K80" s="73"/>
      <c r="L80" s="158"/>
      <c r="M80" s="158"/>
      <c r="N80" s="159"/>
      <c r="O80" s="159"/>
      <c r="P80" s="168"/>
      <c r="Q80" s="161"/>
      <c r="R80" s="170"/>
      <c r="S80" s="170"/>
      <c r="T80" s="161"/>
      <c r="U80" s="305"/>
      <c r="V80" s="305"/>
      <c r="W80" s="163"/>
      <c r="X80" s="398"/>
      <c r="Y80" s="416"/>
      <c r="Z80" s="416"/>
      <c r="AA80" s="378"/>
      <c r="AB80" s="398">
        <v>3760</v>
      </c>
      <c r="AC80" s="398">
        <v>3760</v>
      </c>
      <c r="AD80" s="398">
        <v>3760</v>
      </c>
      <c r="AE80" s="544" t="s">
        <v>624</v>
      </c>
    </row>
    <row r="81" spans="1:31" hidden="1">
      <c r="A81" s="69"/>
      <c r="B81" s="171"/>
      <c r="C81" s="71"/>
      <c r="D81" s="158"/>
      <c r="E81" s="158"/>
      <c r="F81" s="158"/>
      <c r="G81" s="73"/>
      <c r="H81" s="158"/>
      <c r="I81" s="158"/>
      <c r="J81" s="159"/>
      <c r="K81" s="73"/>
      <c r="L81" s="158"/>
      <c r="M81" s="158"/>
      <c r="N81" s="159"/>
      <c r="O81" s="159"/>
      <c r="P81" s="168"/>
      <c r="Q81" s="161"/>
      <c r="R81" s="170"/>
      <c r="S81" s="170"/>
      <c r="T81" s="161"/>
      <c r="U81" s="305"/>
      <c r="V81" s="305"/>
      <c r="W81" s="163"/>
      <c r="X81" s="398"/>
      <c r="Y81" s="416"/>
      <c r="Z81" s="416"/>
      <c r="AA81" s="378"/>
      <c r="AB81" s="398"/>
      <c r="AC81" s="398"/>
      <c r="AD81" s="398"/>
      <c r="AE81" s="544"/>
    </row>
    <row r="82" spans="1:31" ht="15" hidden="1">
      <c r="A82" s="69"/>
      <c r="B82" s="543" t="s">
        <v>494</v>
      </c>
      <c r="C82" s="71"/>
      <c r="D82" s="158"/>
      <c r="E82" s="158"/>
      <c r="F82" s="158"/>
      <c r="G82" s="73"/>
      <c r="H82" s="158"/>
      <c r="I82" s="158"/>
      <c r="J82" s="159"/>
      <c r="K82" s="73"/>
      <c r="L82" s="158"/>
      <c r="M82" s="158"/>
      <c r="N82" s="159"/>
      <c r="O82" s="159"/>
      <c r="P82" s="168"/>
      <c r="Q82" s="161"/>
      <c r="R82" s="170"/>
      <c r="S82" s="170"/>
      <c r="T82" s="161"/>
      <c r="U82" s="305"/>
      <c r="V82" s="305"/>
      <c r="W82" s="163"/>
      <c r="X82" s="398"/>
      <c r="Y82" s="416"/>
      <c r="Z82" s="416"/>
      <c r="AA82" s="378"/>
      <c r="AB82" s="398"/>
      <c r="AC82" s="398"/>
      <c r="AD82" s="398"/>
      <c r="AE82" s="544"/>
    </row>
    <row r="83" spans="1:31" ht="15" hidden="1">
      <c r="A83" s="69"/>
      <c r="B83" s="171" t="s">
        <v>675</v>
      </c>
      <c r="C83" s="71"/>
      <c r="D83" s="158"/>
      <c r="E83" s="158"/>
      <c r="F83" s="158"/>
      <c r="G83" s="73"/>
      <c r="H83" s="158"/>
      <c r="I83" s="158"/>
      <c r="J83" s="159"/>
      <c r="K83" s="73"/>
      <c r="L83" s="158"/>
      <c r="M83" s="158"/>
      <c r="N83" s="159"/>
      <c r="O83" s="159"/>
      <c r="P83" s="168"/>
      <c r="Q83" s="161"/>
      <c r="R83" s="170"/>
      <c r="S83" s="170"/>
      <c r="T83" s="161"/>
      <c r="U83" s="305"/>
      <c r="V83" s="305"/>
      <c r="W83" s="163"/>
      <c r="X83" s="398"/>
      <c r="Y83" s="416"/>
      <c r="Z83" s="416"/>
      <c r="AA83" s="378"/>
      <c r="AB83" s="398">
        <v>1700</v>
      </c>
      <c r="AC83" s="398">
        <v>1700</v>
      </c>
      <c r="AD83" s="398">
        <v>1700</v>
      </c>
      <c r="AE83" s="544" t="s">
        <v>624</v>
      </c>
    </row>
    <row r="84" spans="1:31" ht="15" hidden="1">
      <c r="A84" s="69"/>
      <c r="B84" s="171" t="s">
        <v>676</v>
      </c>
      <c r="C84" s="71"/>
      <c r="D84" s="158"/>
      <c r="E84" s="158"/>
      <c r="F84" s="158"/>
      <c r="G84" s="73"/>
      <c r="H84" s="158"/>
      <c r="I84" s="158"/>
      <c r="J84" s="159"/>
      <c r="K84" s="73"/>
      <c r="L84" s="158"/>
      <c r="M84" s="158"/>
      <c r="N84" s="159"/>
      <c r="O84" s="159"/>
      <c r="P84" s="168"/>
      <c r="Q84" s="161"/>
      <c r="R84" s="170"/>
      <c r="S84" s="170"/>
      <c r="T84" s="161"/>
      <c r="U84" s="305"/>
      <c r="V84" s="305"/>
      <c r="W84" s="163"/>
      <c r="X84" s="398"/>
      <c r="Y84" s="416"/>
      <c r="Z84" s="416"/>
      <c r="AA84" s="378"/>
      <c r="AB84" s="398">
        <v>5260</v>
      </c>
      <c r="AC84" s="398">
        <v>5260</v>
      </c>
      <c r="AD84" s="398">
        <v>5260</v>
      </c>
      <c r="AE84" s="544" t="s">
        <v>624</v>
      </c>
    </row>
    <row r="85" spans="1:31" ht="15" hidden="1">
      <c r="A85" s="69"/>
      <c r="B85" s="171" t="s">
        <v>677</v>
      </c>
      <c r="C85" s="71"/>
      <c r="D85" s="158"/>
      <c r="E85" s="158"/>
      <c r="F85" s="158"/>
      <c r="G85" s="73"/>
      <c r="H85" s="158"/>
      <c r="I85" s="158"/>
      <c r="J85" s="159"/>
      <c r="K85" s="73"/>
      <c r="L85" s="158"/>
      <c r="M85" s="158"/>
      <c r="N85" s="159"/>
      <c r="O85" s="159"/>
      <c r="P85" s="168"/>
      <c r="Q85" s="161"/>
      <c r="R85" s="170"/>
      <c r="S85" s="170"/>
      <c r="T85" s="161"/>
      <c r="U85" s="305"/>
      <c r="V85" s="305"/>
      <c r="W85" s="163"/>
      <c r="X85" s="398"/>
      <c r="Y85" s="416"/>
      <c r="Z85" s="416"/>
      <c r="AA85" s="378"/>
      <c r="AB85" s="398">
        <v>7700</v>
      </c>
      <c r="AC85" s="398">
        <v>7700</v>
      </c>
      <c r="AD85" s="398">
        <v>7700</v>
      </c>
      <c r="AE85" s="544" t="s">
        <v>624</v>
      </c>
    </row>
    <row r="86" spans="1:31" ht="15" hidden="1">
      <c r="A86" s="69"/>
      <c r="B86" s="171" t="s">
        <v>678</v>
      </c>
      <c r="C86" s="71"/>
      <c r="D86" s="158"/>
      <c r="E86" s="158"/>
      <c r="F86" s="158"/>
      <c r="G86" s="73"/>
      <c r="H86" s="158"/>
      <c r="I86" s="158"/>
      <c r="J86" s="159"/>
      <c r="K86" s="73"/>
      <c r="L86" s="158"/>
      <c r="M86" s="158"/>
      <c r="N86" s="159"/>
      <c r="O86" s="159"/>
      <c r="P86" s="168"/>
      <c r="Q86" s="161"/>
      <c r="R86" s="170"/>
      <c r="S86" s="170"/>
      <c r="T86" s="161"/>
      <c r="U86" s="305"/>
      <c r="V86" s="305"/>
      <c r="W86" s="163"/>
      <c r="X86" s="398"/>
      <c r="Y86" s="416"/>
      <c r="Z86" s="416"/>
      <c r="AA86" s="378"/>
      <c r="AB86" s="398">
        <v>14550</v>
      </c>
      <c r="AC86" s="398">
        <v>14550</v>
      </c>
      <c r="AD86" s="398">
        <v>14550</v>
      </c>
      <c r="AE86" s="544" t="s">
        <v>624</v>
      </c>
    </row>
    <row r="87" spans="1:31" ht="15" hidden="1">
      <c r="A87" s="69"/>
      <c r="B87" s="171" t="s">
        <v>679</v>
      </c>
      <c r="C87" s="71"/>
      <c r="D87" s="158"/>
      <c r="E87" s="158"/>
      <c r="F87" s="158"/>
      <c r="G87" s="73"/>
      <c r="H87" s="158"/>
      <c r="I87" s="158"/>
      <c r="J87" s="159"/>
      <c r="K87" s="73"/>
      <c r="L87" s="158"/>
      <c r="M87" s="158"/>
      <c r="N87" s="159"/>
      <c r="O87" s="159"/>
      <c r="P87" s="168"/>
      <c r="Q87" s="161"/>
      <c r="R87" s="170"/>
      <c r="S87" s="170"/>
      <c r="T87" s="161"/>
      <c r="U87" s="305"/>
      <c r="V87" s="305"/>
      <c r="W87" s="163"/>
      <c r="X87" s="398"/>
      <c r="Y87" s="416"/>
      <c r="Z87" s="416"/>
      <c r="AA87" s="378"/>
      <c r="AB87" s="398">
        <f>SUM(AB79:AB86)*0.05</f>
        <v>1688.5</v>
      </c>
      <c r="AC87" s="398">
        <f>SUM(AC79:AC86)*0.05</f>
        <v>1688.5</v>
      </c>
      <c r="AD87" s="398">
        <f>SUM(AD79:AD86)*0.05</f>
        <v>1688.5</v>
      </c>
      <c r="AE87" s="544" t="s">
        <v>624</v>
      </c>
    </row>
    <row r="88" spans="1:31" ht="15" hidden="1">
      <c r="A88" s="69"/>
      <c r="B88" s="171" t="s">
        <v>478</v>
      </c>
      <c r="C88" s="71"/>
      <c r="D88" s="158"/>
      <c r="E88" s="158"/>
      <c r="F88" s="158"/>
      <c r="G88" s="73"/>
      <c r="H88" s="158"/>
      <c r="I88" s="158"/>
      <c r="J88" s="159"/>
      <c r="K88" s="73"/>
      <c r="L88" s="158"/>
      <c r="M88" s="158"/>
      <c r="N88" s="159"/>
      <c r="O88" s="159"/>
      <c r="P88" s="168"/>
      <c r="Q88" s="161"/>
      <c r="R88" s="170"/>
      <c r="S88" s="170"/>
      <c r="T88" s="161"/>
      <c r="U88" s="305"/>
      <c r="V88" s="305"/>
      <c r="W88" s="163"/>
      <c r="X88" s="398"/>
      <c r="Y88" s="416"/>
      <c r="Z88" s="416"/>
      <c r="AA88" s="378"/>
      <c r="AB88" s="398">
        <f>SUM(AB79:AB87)</f>
        <v>35458.5</v>
      </c>
      <c r="AC88" s="398">
        <f>SUM(AC79:AC87)</f>
        <v>35458.5</v>
      </c>
      <c r="AD88" s="398">
        <f>SUM(AD79:AD87)</f>
        <v>35458.5</v>
      </c>
      <c r="AE88" s="544" t="s">
        <v>624</v>
      </c>
    </row>
    <row r="89" spans="1:31" hidden="1">
      <c r="A89" s="69"/>
      <c r="B89" s="171"/>
      <c r="C89" s="71"/>
      <c r="D89" s="158"/>
      <c r="E89" s="158"/>
      <c r="F89" s="158"/>
      <c r="G89" s="73"/>
      <c r="H89" s="158"/>
      <c r="I89" s="158"/>
      <c r="J89" s="159"/>
      <c r="K89" s="73"/>
      <c r="L89" s="158"/>
      <c r="M89" s="158"/>
      <c r="N89" s="159"/>
      <c r="O89" s="159"/>
      <c r="P89" s="168"/>
      <c r="Q89" s="161"/>
      <c r="R89" s="170"/>
      <c r="S89" s="170"/>
      <c r="T89" s="161"/>
      <c r="U89" s="305"/>
      <c r="V89" s="305"/>
      <c r="W89" s="163"/>
      <c r="X89" s="398"/>
      <c r="Y89" s="416"/>
      <c r="Z89" s="416"/>
      <c r="AA89" s="378"/>
      <c r="AB89" s="398"/>
      <c r="AC89" s="398"/>
      <c r="AD89" s="398"/>
      <c r="AE89" s="544"/>
    </row>
    <row r="90" spans="1:31" ht="15" hidden="1">
      <c r="A90" s="69"/>
      <c r="B90" s="543" t="s">
        <v>221</v>
      </c>
      <c r="C90" s="71"/>
      <c r="D90" s="158"/>
      <c r="E90" s="158"/>
      <c r="F90" s="158"/>
      <c r="G90" s="73"/>
      <c r="H90" s="158"/>
      <c r="I90" s="158"/>
      <c r="J90" s="159"/>
      <c r="K90" s="73"/>
      <c r="L90" s="158"/>
      <c r="M90" s="158"/>
      <c r="N90" s="159"/>
      <c r="O90" s="159"/>
      <c r="P90" s="168"/>
      <c r="Q90" s="161"/>
      <c r="R90" s="170"/>
      <c r="S90" s="170"/>
      <c r="T90" s="161"/>
      <c r="U90" s="305"/>
      <c r="V90" s="305"/>
      <c r="W90" s="163"/>
      <c r="X90" s="398"/>
      <c r="Y90" s="416"/>
      <c r="Z90" s="416"/>
      <c r="AA90" s="378"/>
      <c r="AB90" s="398"/>
      <c r="AC90" s="398"/>
      <c r="AD90" s="398"/>
      <c r="AE90" s="544"/>
    </row>
    <row r="91" spans="1:31" ht="60" hidden="1">
      <c r="A91" s="69"/>
      <c r="B91" s="171" t="s">
        <v>680</v>
      </c>
      <c r="C91" s="71"/>
      <c r="D91" s="158"/>
      <c r="E91" s="158"/>
      <c r="F91" s="158"/>
      <c r="G91" s="73"/>
      <c r="H91" s="158"/>
      <c r="I91" s="158"/>
      <c r="J91" s="159"/>
      <c r="K91" s="73"/>
      <c r="L91" s="158"/>
      <c r="M91" s="158"/>
      <c r="N91" s="159"/>
      <c r="O91" s="159"/>
      <c r="P91" s="168"/>
      <c r="Q91" s="161"/>
      <c r="R91" s="170"/>
      <c r="S91" s="170"/>
      <c r="T91" s="161"/>
      <c r="U91" s="305"/>
      <c r="V91" s="305"/>
      <c r="W91" s="163"/>
      <c r="X91" s="398"/>
      <c r="Y91" s="416"/>
      <c r="Z91" s="416"/>
      <c r="AA91" s="378"/>
      <c r="AB91" s="398">
        <v>30000</v>
      </c>
      <c r="AC91" s="398">
        <v>30000</v>
      </c>
      <c r="AD91" s="398">
        <v>30000</v>
      </c>
      <c r="AE91" s="544" t="s">
        <v>626</v>
      </c>
    </row>
    <row r="92" spans="1:31" ht="75" hidden="1">
      <c r="A92" s="69"/>
      <c r="B92" s="171" t="s">
        <v>681</v>
      </c>
      <c r="C92" s="71"/>
      <c r="D92" s="158"/>
      <c r="E92" s="158"/>
      <c r="F92" s="158"/>
      <c r="G92" s="73"/>
      <c r="H92" s="158"/>
      <c r="I92" s="158"/>
      <c r="J92" s="159"/>
      <c r="K92" s="73"/>
      <c r="L92" s="158"/>
      <c r="M92" s="158"/>
      <c r="N92" s="159"/>
      <c r="O92" s="159"/>
      <c r="P92" s="168"/>
      <c r="Q92" s="161"/>
      <c r="R92" s="170"/>
      <c r="S92" s="170"/>
      <c r="T92" s="161"/>
      <c r="U92" s="305"/>
      <c r="V92" s="305"/>
      <c r="W92" s="163"/>
      <c r="X92" s="398"/>
      <c r="Y92" s="416"/>
      <c r="Z92" s="416"/>
      <c r="AA92" s="378"/>
      <c r="AB92" s="398">
        <v>5000</v>
      </c>
      <c r="AC92" s="398">
        <v>5000</v>
      </c>
      <c r="AD92" s="398">
        <v>5000</v>
      </c>
      <c r="AE92" s="544" t="s">
        <v>627</v>
      </c>
    </row>
    <row r="93" spans="1:31" ht="30" hidden="1">
      <c r="A93" s="69"/>
      <c r="B93" s="171" t="s">
        <v>682</v>
      </c>
      <c r="C93" s="71"/>
      <c r="D93" s="158"/>
      <c r="E93" s="158"/>
      <c r="F93" s="158"/>
      <c r="G93" s="73"/>
      <c r="H93" s="158"/>
      <c r="I93" s="158"/>
      <c r="J93" s="159"/>
      <c r="K93" s="73"/>
      <c r="L93" s="158"/>
      <c r="M93" s="158"/>
      <c r="N93" s="159"/>
      <c r="O93" s="159"/>
      <c r="P93" s="168"/>
      <c r="Q93" s="161"/>
      <c r="R93" s="170"/>
      <c r="S93" s="170"/>
      <c r="T93" s="161"/>
      <c r="U93" s="305"/>
      <c r="V93" s="305"/>
      <c r="W93" s="163"/>
      <c r="X93" s="398"/>
      <c r="Y93" s="416"/>
      <c r="Z93" s="416"/>
      <c r="AA93" s="378"/>
      <c r="AB93" s="398">
        <v>5000</v>
      </c>
      <c r="AC93" s="398">
        <v>5000</v>
      </c>
      <c r="AD93" s="398">
        <v>5000</v>
      </c>
      <c r="AE93" s="544"/>
    </row>
    <row r="94" spans="1:31" ht="15" hidden="1">
      <c r="A94" s="69"/>
      <c r="B94" s="171" t="s">
        <v>679</v>
      </c>
      <c r="C94" s="71"/>
      <c r="D94" s="158"/>
      <c r="E94" s="158"/>
      <c r="F94" s="158"/>
      <c r="G94" s="73"/>
      <c r="H94" s="158"/>
      <c r="I94" s="158"/>
      <c r="J94" s="159"/>
      <c r="K94" s="73"/>
      <c r="L94" s="158"/>
      <c r="M94" s="158"/>
      <c r="N94" s="159"/>
      <c r="O94" s="159"/>
      <c r="P94" s="168"/>
      <c r="Q94" s="161"/>
      <c r="R94" s="170"/>
      <c r="S94" s="170"/>
      <c r="T94" s="161"/>
      <c r="U94" s="305"/>
      <c r="V94" s="305"/>
      <c r="W94" s="163"/>
      <c r="X94" s="398"/>
      <c r="Y94" s="416"/>
      <c r="Z94" s="416"/>
      <c r="AA94" s="378"/>
      <c r="AB94" s="398">
        <f>SUM(AB90:AB93)*0.05</f>
        <v>2000</v>
      </c>
      <c r="AC94" s="398">
        <f>SUM(AC90:AC93)*0.05</f>
        <v>2000</v>
      </c>
      <c r="AD94" s="398">
        <f>SUM(AD90:AD93)*0.05</f>
        <v>2000</v>
      </c>
      <c r="AE94" s="544"/>
    </row>
    <row r="95" spans="1:31" ht="15" hidden="1">
      <c r="A95" s="69"/>
      <c r="B95" s="171" t="s">
        <v>478</v>
      </c>
      <c r="C95" s="71"/>
      <c r="D95" s="158"/>
      <c r="E95" s="158"/>
      <c r="F95" s="158"/>
      <c r="G95" s="73"/>
      <c r="H95" s="158"/>
      <c r="I95" s="158"/>
      <c r="J95" s="159"/>
      <c r="K95" s="73"/>
      <c r="L95" s="158"/>
      <c r="M95" s="158"/>
      <c r="N95" s="159"/>
      <c r="O95" s="159"/>
      <c r="P95" s="168"/>
      <c r="Q95" s="161"/>
      <c r="R95" s="170"/>
      <c r="S95" s="170"/>
      <c r="T95" s="161"/>
      <c r="U95" s="305"/>
      <c r="V95" s="305"/>
      <c r="W95" s="163"/>
      <c r="X95" s="398"/>
      <c r="Y95" s="416"/>
      <c r="Z95" s="416"/>
      <c r="AA95" s="378"/>
      <c r="AB95" s="398">
        <f>SUM(AB91:AB94)</f>
        <v>42000</v>
      </c>
      <c r="AC95" s="398">
        <f>SUM(AC91:AC94)</f>
        <v>42000</v>
      </c>
      <c r="AD95" s="398">
        <f>SUM(AD91:AD94)</f>
        <v>42000</v>
      </c>
      <c r="AE95" s="544"/>
    </row>
    <row r="96" spans="1:31" ht="45">
      <c r="A96" s="69"/>
      <c r="B96" s="172" t="s">
        <v>407</v>
      </c>
      <c r="C96" s="73"/>
      <c r="D96" s="159"/>
      <c r="E96" s="159"/>
      <c r="F96" s="159"/>
      <c r="G96" s="73"/>
      <c r="H96" s="159"/>
      <c r="I96" s="159"/>
      <c r="J96" s="159"/>
      <c r="K96" s="73"/>
      <c r="L96" s="159"/>
      <c r="M96" s="159"/>
      <c r="N96" s="159"/>
      <c r="O96" s="159"/>
      <c r="P96" s="168"/>
      <c r="Q96" s="162">
        <v>230000</v>
      </c>
      <c r="R96" s="173">
        <f>SUM(R55:R76)</f>
        <v>43249.25</v>
      </c>
      <c r="S96" s="173"/>
      <c r="T96" s="174"/>
      <c r="U96" s="306">
        <f>SUM(U55:U76)</f>
        <v>171160</v>
      </c>
      <c r="V96" s="306">
        <v>140745</v>
      </c>
      <c r="W96" s="161"/>
      <c r="X96" s="396">
        <v>92925</v>
      </c>
      <c r="Y96" s="417">
        <v>87015.9</v>
      </c>
      <c r="Z96" s="417">
        <f>X96-Y96</f>
        <v>5909.1000000000058</v>
      </c>
      <c r="AA96" s="378" t="s">
        <v>525</v>
      </c>
      <c r="AB96" s="396">
        <v>42000</v>
      </c>
      <c r="AC96" s="396">
        <v>42000</v>
      </c>
      <c r="AD96" s="396">
        <v>42000</v>
      </c>
      <c r="AE96" s="544" t="s">
        <v>683</v>
      </c>
    </row>
    <row r="97" spans="1:31" s="179" customFormat="1">
      <c r="A97" s="175"/>
      <c r="B97" s="152"/>
      <c r="C97" s="73"/>
      <c r="D97" s="153"/>
      <c r="E97" s="153"/>
      <c r="F97" s="153"/>
      <c r="G97" s="73"/>
      <c r="H97" s="153"/>
      <c r="I97" s="153"/>
      <c r="J97" s="153"/>
      <c r="K97" s="73"/>
      <c r="L97" s="153"/>
      <c r="M97" s="153"/>
      <c r="N97" s="153"/>
      <c r="O97" s="153"/>
      <c r="P97" s="168"/>
      <c r="Q97" s="176"/>
      <c r="R97" s="177"/>
      <c r="S97" s="177"/>
      <c r="T97" s="154"/>
      <c r="U97" s="178"/>
      <c r="V97" s="178"/>
      <c r="W97" s="154"/>
      <c r="X97" s="398"/>
      <c r="Y97" s="406"/>
      <c r="Z97" s="406"/>
      <c r="AA97" s="178"/>
      <c r="AB97" s="398"/>
      <c r="AC97" s="398"/>
      <c r="AD97" s="398"/>
      <c r="AE97" s="553"/>
    </row>
    <row r="98" spans="1:31">
      <c r="A98" s="69"/>
      <c r="B98" s="180" t="s">
        <v>70</v>
      </c>
      <c r="C98" s="71"/>
      <c r="D98" s="181"/>
      <c r="E98" s="181"/>
      <c r="F98" s="181"/>
      <c r="G98" s="73"/>
      <c r="H98" s="181"/>
      <c r="I98" s="181"/>
      <c r="J98" s="181"/>
      <c r="K98" s="73"/>
      <c r="L98" s="181"/>
      <c r="M98" s="181"/>
      <c r="N98" s="181"/>
      <c r="O98" s="181"/>
      <c r="P98" s="73"/>
      <c r="Q98" s="182"/>
      <c r="R98" s="183"/>
      <c r="S98" s="183"/>
      <c r="T98" s="184"/>
      <c r="U98" s="299"/>
      <c r="V98" s="299"/>
      <c r="W98" s="186"/>
      <c r="X98" s="398"/>
      <c r="Y98" s="418"/>
      <c r="Z98" s="418"/>
      <c r="AA98" s="185"/>
      <c r="AB98" s="398"/>
      <c r="AC98" s="398"/>
      <c r="AD98" s="398"/>
      <c r="AE98" s="538"/>
    </row>
    <row r="99" spans="1:31" ht="75">
      <c r="A99" s="111">
        <v>63065</v>
      </c>
      <c r="B99" s="187" t="s">
        <v>71</v>
      </c>
      <c r="C99" s="73"/>
      <c r="D99" s="181">
        <v>44000</v>
      </c>
      <c r="E99" s="181">
        <v>29673</v>
      </c>
      <c r="F99" s="181">
        <f t="shared" ref="F99:F107" si="14">D99-E99</f>
        <v>14327</v>
      </c>
      <c r="G99" s="73"/>
      <c r="H99" s="181">
        <v>44000</v>
      </c>
      <c r="I99" s="181">
        <v>42079</v>
      </c>
      <c r="J99" s="181">
        <f t="shared" ref="J99:J107" si="15">H99-I99</f>
        <v>1921</v>
      </c>
      <c r="K99" s="73"/>
      <c r="L99" s="181">
        <v>42000</v>
      </c>
      <c r="M99" s="181">
        <v>57584</v>
      </c>
      <c r="N99" s="181">
        <f>L99-M99</f>
        <v>-15584</v>
      </c>
      <c r="O99" s="188" t="s">
        <v>203</v>
      </c>
      <c r="P99" s="136"/>
      <c r="Q99" s="181">
        <v>50000</v>
      </c>
      <c r="R99" s="189">
        <v>48068</v>
      </c>
      <c r="S99" s="282">
        <f t="shared" ref="S99:S113" si="16">R99-Q99</f>
        <v>-1932</v>
      </c>
      <c r="T99" s="184">
        <f>3500*12</f>
        <v>42000</v>
      </c>
      <c r="U99" s="299">
        <v>50000</v>
      </c>
      <c r="V99" s="299">
        <v>47401</v>
      </c>
      <c r="W99" s="186"/>
      <c r="X99" s="398">
        <v>50000</v>
      </c>
      <c r="Y99" s="418">
        <v>22296</v>
      </c>
      <c r="Z99" s="418">
        <f>X99-Y99</f>
        <v>27704</v>
      </c>
      <c r="AA99" s="185"/>
      <c r="AB99" s="539">
        <v>45000</v>
      </c>
      <c r="AC99" s="539">
        <v>45000</v>
      </c>
      <c r="AD99" s="539">
        <v>45000</v>
      </c>
      <c r="AE99" s="540" t="s">
        <v>650</v>
      </c>
    </row>
    <row r="100" spans="1:31" ht="15">
      <c r="A100" s="111">
        <v>63025</v>
      </c>
      <c r="B100" s="187" t="s">
        <v>72</v>
      </c>
      <c r="C100" s="73"/>
      <c r="D100" s="181">
        <v>500</v>
      </c>
      <c r="E100" s="181">
        <v>547</v>
      </c>
      <c r="F100" s="181">
        <f t="shared" si="14"/>
        <v>-47</v>
      </c>
      <c r="G100" s="73"/>
      <c r="H100" s="181">
        <v>600</v>
      </c>
      <c r="I100" s="181">
        <v>630</v>
      </c>
      <c r="J100" s="181">
        <f t="shared" si="15"/>
        <v>-30</v>
      </c>
      <c r="K100" s="73"/>
      <c r="L100" s="181">
        <v>600</v>
      </c>
      <c r="M100" s="181">
        <v>745</v>
      </c>
      <c r="N100" s="181">
        <f t="shared" ref="N100:N113" si="17">L100-M100</f>
        <v>-145</v>
      </c>
      <c r="O100" s="181"/>
      <c r="P100" s="73"/>
      <c r="Q100" s="181">
        <v>1200</v>
      </c>
      <c r="R100" s="189">
        <v>893</v>
      </c>
      <c r="S100" s="282">
        <f t="shared" si="16"/>
        <v>-307</v>
      </c>
      <c r="T100" s="191" t="s">
        <v>73</v>
      </c>
      <c r="U100" s="299">
        <v>1200</v>
      </c>
      <c r="V100" s="299">
        <v>1304</v>
      </c>
      <c r="W100" s="186"/>
      <c r="X100" s="398">
        <v>1200</v>
      </c>
      <c r="Y100" s="418">
        <v>160</v>
      </c>
      <c r="Z100" s="418">
        <f t="shared" ref="Z100:Z112" si="18">X100-Y100</f>
        <v>1040</v>
      </c>
      <c r="AA100" s="185"/>
      <c r="AB100" s="539">
        <v>1200</v>
      </c>
      <c r="AC100" s="539">
        <v>1200</v>
      </c>
      <c r="AD100" s="539">
        <v>1200</v>
      </c>
      <c r="AE100" s="540" t="s">
        <v>651</v>
      </c>
    </row>
    <row r="101" spans="1:31" ht="75">
      <c r="A101" s="111">
        <v>63050</v>
      </c>
      <c r="B101" s="187" t="s">
        <v>74</v>
      </c>
      <c r="C101" s="73"/>
      <c r="D101" s="181">
        <v>5000</v>
      </c>
      <c r="E101" s="181">
        <v>0</v>
      </c>
      <c r="F101" s="181">
        <f t="shared" si="14"/>
        <v>5000</v>
      </c>
      <c r="G101" s="73"/>
      <c r="H101" s="181">
        <v>5000</v>
      </c>
      <c r="I101" s="181">
        <v>0</v>
      </c>
      <c r="J101" s="181">
        <f t="shared" si="15"/>
        <v>5000</v>
      </c>
      <c r="K101" s="73"/>
      <c r="L101" s="181">
        <v>5000</v>
      </c>
      <c r="M101" s="181">
        <v>0</v>
      </c>
      <c r="N101" s="181">
        <f t="shared" si="17"/>
        <v>5000</v>
      </c>
      <c r="O101" s="181"/>
      <c r="P101" s="73"/>
      <c r="Q101" s="181">
        <v>0</v>
      </c>
      <c r="R101" s="189">
        <v>0</v>
      </c>
      <c r="S101" s="282">
        <f t="shared" si="16"/>
        <v>0</v>
      </c>
      <c r="T101" s="184"/>
      <c r="U101" s="299">
        <v>0</v>
      </c>
      <c r="V101" s="299">
        <v>0</v>
      </c>
      <c r="W101" s="186"/>
      <c r="X101" s="398">
        <v>0</v>
      </c>
      <c r="Y101" s="418">
        <v>0</v>
      </c>
      <c r="Z101" s="418">
        <f t="shared" si="18"/>
        <v>0</v>
      </c>
      <c r="AA101" s="388" t="s">
        <v>548</v>
      </c>
      <c r="AB101" s="539">
        <v>1500</v>
      </c>
      <c r="AC101" s="539">
        <v>1500</v>
      </c>
      <c r="AD101" s="539">
        <v>1500</v>
      </c>
      <c r="AE101" s="540" t="s">
        <v>652</v>
      </c>
    </row>
    <row r="102" spans="1:31" ht="45">
      <c r="A102" s="111">
        <v>63078</v>
      </c>
      <c r="B102" s="187" t="s">
        <v>75</v>
      </c>
      <c r="C102" s="73"/>
      <c r="D102" s="181">
        <v>500</v>
      </c>
      <c r="E102" s="181">
        <v>0</v>
      </c>
      <c r="F102" s="181">
        <f t="shared" si="14"/>
        <v>500</v>
      </c>
      <c r="G102" s="73"/>
      <c r="H102" s="181">
        <v>500</v>
      </c>
      <c r="I102" s="181">
        <v>0</v>
      </c>
      <c r="J102" s="181">
        <f t="shared" si="15"/>
        <v>500</v>
      </c>
      <c r="K102" s="73"/>
      <c r="L102" s="181">
        <v>200</v>
      </c>
      <c r="M102" s="181">
        <v>65</v>
      </c>
      <c r="N102" s="181">
        <f t="shared" si="17"/>
        <v>135</v>
      </c>
      <c r="O102" s="181"/>
      <c r="P102" s="73"/>
      <c r="Q102" s="181">
        <v>200</v>
      </c>
      <c r="R102" s="189">
        <v>0</v>
      </c>
      <c r="S102" s="282">
        <f t="shared" si="16"/>
        <v>-200</v>
      </c>
      <c r="T102" s="184"/>
      <c r="U102" s="299">
        <v>200</v>
      </c>
      <c r="V102" s="299">
        <v>0</v>
      </c>
      <c r="W102" s="186"/>
      <c r="X102" s="398">
        <v>2200</v>
      </c>
      <c r="Y102" s="418">
        <v>1511</v>
      </c>
      <c r="Z102" s="418">
        <f t="shared" si="18"/>
        <v>689</v>
      </c>
      <c r="AA102" s="185"/>
      <c r="AB102" s="539">
        <v>500</v>
      </c>
      <c r="AC102" s="539">
        <v>500</v>
      </c>
      <c r="AD102" s="539">
        <v>500</v>
      </c>
      <c r="AE102" s="540" t="s">
        <v>653</v>
      </c>
    </row>
    <row r="103" spans="1:31" ht="45">
      <c r="A103" s="111">
        <v>63080</v>
      </c>
      <c r="B103" s="187" t="s">
        <v>409</v>
      </c>
      <c r="C103" s="73"/>
      <c r="D103" s="181">
        <v>3000</v>
      </c>
      <c r="E103" s="181">
        <v>2176</v>
      </c>
      <c r="F103" s="181">
        <f t="shared" si="14"/>
        <v>824</v>
      </c>
      <c r="G103" s="73"/>
      <c r="H103" s="181">
        <v>3000</v>
      </c>
      <c r="I103" s="181">
        <v>5411</v>
      </c>
      <c r="J103" s="181">
        <f t="shared" si="15"/>
        <v>-2411</v>
      </c>
      <c r="K103" s="73"/>
      <c r="L103" s="181">
        <v>5000</v>
      </c>
      <c r="M103" s="181">
        <v>2191</v>
      </c>
      <c r="N103" s="181">
        <f t="shared" si="17"/>
        <v>2809</v>
      </c>
      <c r="O103" s="188" t="s">
        <v>76</v>
      </c>
      <c r="P103" s="136"/>
      <c r="Q103" s="181">
        <v>5000</v>
      </c>
      <c r="R103" s="189">
        <v>3790</v>
      </c>
      <c r="S103" s="282">
        <f t="shared" si="16"/>
        <v>-1210</v>
      </c>
      <c r="T103" s="184"/>
      <c r="U103" s="299">
        <v>5000</v>
      </c>
      <c r="V103" s="299">
        <v>10001</v>
      </c>
      <c r="W103" s="192" t="s">
        <v>222</v>
      </c>
      <c r="X103" s="398">
        <v>4000</v>
      </c>
      <c r="Y103" s="418">
        <v>882</v>
      </c>
      <c r="Z103" s="418">
        <f t="shared" si="18"/>
        <v>3118</v>
      </c>
      <c r="AA103" s="185"/>
      <c r="AB103" s="539">
        <v>3000</v>
      </c>
      <c r="AC103" s="539">
        <v>3000</v>
      </c>
      <c r="AD103" s="539">
        <v>3000</v>
      </c>
      <c r="AE103" s="540" t="s">
        <v>654</v>
      </c>
    </row>
    <row r="104" spans="1:31" ht="14.25" customHeight="1">
      <c r="A104" s="111">
        <v>63070</v>
      </c>
      <c r="B104" s="187" t="s">
        <v>77</v>
      </c>
      <c r="C104" s="73"/>
      <c r="D104" s="181">
        <v>800</v>
      </c>
      <c r="E104" s="181">
        <v>288</v>
      </c>
      <c r="F104" s="181">
        <f t="shared" si="14"/>
        <v>512</v>
      </c>
      <c r="G104" s="73"/>
      <c r="H104" s="181">
        <v>800</v>
      </c>
      <c r="I104" s="181">
        <v>236</v>
      </c>
      <c r="J104" s="181">
        <f t="shared" si="15"/>
        <v>564</v>
      </c>
      <c r="K104" s="73"/>
      <c r="L104" s="181">
        <v>800</v>
      </c>
      <c r="M104" s="181">
        <v>373</v>
      </c>
      <c r="N104" s="181">
        <f t="shared" si="17"/>
        <v>427</v>
      </c>
      <c r="O104" s="181"/>
      <c r="P104" s="73"/>
      <c r="Q104" s="181">
        <v>500</v>
      </c>
      <c r="R104" s="189">
        <v>215</v>
      </c>
      <c r="S104" s="282">
        <f t="shared" si="16"/>
        <v>-285</v>
      </c>
      <c r="T104" s="184"/>
      <c r="U104" s="299">
        <v>500</v>
      </c>
      <c r="V104" s="299">
        <v>326</v>
      </c>
      <c r="W104" s="186"/>
      <c r="X104" s="398">
        <v>500</v>
      </c>
      <c r="Y104" s="418">
        <v>251</v>
      </c>
      <c r="Z104" s="418">
        <f t="shared" si="18"/>
        <v>249</v>
      </c>
      <c r="AA104" s="185"/>
      <c r="AB104" s="539">
        <v>300</v>
      </c>
      <c r="AC104" s="539">
        <v>300</v>
      </c>
      <c r="AD104" s="539">
        <v>300</v>
      </c>
      <c r="AE104" s="540" t="s">
        <v>655</v>
      </c>
    </row>
    <row r="105" spans="1:31" ht="30">
      <c r="A105" s="111">
        <v>63030</v>
      </c>
      <c r="B105" s="187" t="s">
        <v>78</v>
      </c>
      <c r="C105" s="73"/>
      <c r="D105" s="181">
        <v>600</v>
      </c>
      <c r="E105" s="181">
        <v>889</v>
      </c>
      <c r="F105" s="181">
        <f t="shared" si="14"/>
        <v>-289</v>
      </c>
      <c r="G105" s="73"/>
      <c r="H105" s="181">
        <v>900</v>
      </c>
      <c r="I105" s="181">
        <v>1797</v>
      </c>
      <c r="J105" s="181">
        <f t="shared" si="15"/>
        <v>-897</v>
      </c>
      <c r="K105" s="73"/>
      <c r="L105" s="181">
        <v>2000</v>
      </c>
      <c r="M105" s="181">
        <v>359</v>
      </c>
      <c r="N105" s="181">
        <f t="shared" si="17"/>
        <v>1641</v>
      </c>
      <c r="O105" s="188" t="s">
        <v>79</v>
      </c>
      <c r="P105" s="136"/>
      <c r="Q105" s="181">
        <v>2000</v>
      </c>
      <c r="R105" s="189">
        <v>297</v>
      </c>
      <c r="S105" s="282">
        <f t="shared" si="16"/>
        <v>-1703</v>
      </c>
      <c r="T105" s="184"/>
      <c r="U105" s="299">
        <v>2000</v>
      </c>
      <c r="V105" s="299">
        <v>670</v>
      </c>
      <c r="W105" s="186"/>
      <c r="X105" s="398">
        <v>1000</v>
      </c>
      <c r="Y105" s="418">
        <v>2051</v>
      </c>
      <c r="Z105" s="418">
        <f t="shared" si="18"/>
        <v>-1051</v>
      </c>
      <c r="AA105" s="185"/>
      <c r="AB105" s="539">
        <v>5500</v>
      </c>
      <c r="AC105" s="539">
        <v>5500</v>
      </c>
      <c r="AD105" s="539">
        <v>5500</v>
      </c>
      <c r="AE105" s="540" t="s">
        <v>656</v>
      </c>
    </row>
    <row r="106" spans="1:31" ht="60">
      <c r="A106" s="111">
        <v>63035</v>
      </c>
      <c r="B106" s="187" t="s">
        <v>80</v>
      </c>
      <c r="C106" s="73"/>
      <c r="D106" s="181">
        <v>3000</v>
      </c>
      <c r="E106" s="181">
        <v>0</v>
      </c>
      <c r="F106" s="181">
        <f t="shared" si="14"/>
        <v>3000</v>
      </c>
      <c r="G106" s="73"/>
      <c r="H106" s="181">
        <v>3000</v>
      </c>
      <c r="I106" s="181">
        <v>1092</v>
      </c>
      <c r="J106" s="181">
        <f t="shared" si="15"/>
        <v>1908</v>
      </c>
      <c r="K106" s="73"/>
      <c r="L106" s="181">
        <v>2500</v>
      </c>
      <c r="M106" s="181">
        <v>8</v>
      </c>
      <c r="N106" s="181">
        <f t="shared" si="17"/>
        <v>2492</v>
      </c>
      <c r="O106" s="181"/>
      <c r="P106" s="73"/>
      <c r="Q106" s="181">
        <v>2500</v>
      </c>
      <c r="R106" s="189">
        <v>303</v>
      </c>
      <c r="S106" s="282">
        <f t="shared" si="16"/>
        <v>-2197</v>
      </c>
      <c r="T106" s="184"/>
      <c r="U106" s="299">
        <v>2500</v>
      </c>
      <c r="V106" s="299">
        <v>1230</v>
      </c>
      <c r="W106" s="186"/>
      <c r="X106" s="398">
        <v>1500</v>
      </c>
      <c r="Y106" s="418">
        <v>1400</v>
      </c>
      <c r="Z106" s="418">
        <f t="shared" si="18"/>
        <v>100</v>
      </c>
      <c r="AA106" s="185"/>
      <c r="AB106" s="539">
        <v>2000</v>
      </c>
      <c r="AC106" s="539">
        <v>2000</v>
      </c>
      <c r="AD106" s="539">
        <v>2000</v>
      </c>
      <c r="AE106" s="540" t="s">
        <v>657</v>
      </c>
    </row>
    <row r="107" spans="1:31" ht="30">
      <c r="A107" s="111">
        <v>63085</v>
      </c>
      <c r="B107" s="187" t="s">
        <v>69</v>
      </c>
      <c r="C107" s="73"/>
      <c r="D107" s="181">
        <v>2000</v>
      </c>
      <c r="E107" s="181">
        <v>1379</v>
      </c>
      <c r="F107" s="181">
        <f t="shared" si="14"/>
        <v>621</v>
      </c>
      <c r="G107" s="73"/>
      <c r="H107" s="181">
        <v>2000</v>
      </c>
      <c r="I107" s="181">
        <v>3167</v>
      </c>
      <c r="J107" s="181">
        <f t="shared" si="15"/>
        <v>-1167</v>
      </c>
      <c r="K107" s="73"/>
      <c r="L107" s="181">
        <v>3000</v>
      </c>
      <c r="M107" s="181">
        <v>1470</v>
      </c>
      <c r="N107" s="181">
        <f t="shared" si="17"/>
        <v>1530</v>
      </c>
      <c r="O107" s="181"/>
      <c r="P107" s="73"/>
      <c r="Q107" s="181">
        <v>3000</v>
      </c>
      <c r="R107" s="189">
        <v>469</v>
      </c>
      <c r="S107" s="282">
        <f t="shared" si="16"/>
        <v>-2531</v>
      </c>
      <c r="T107" s="184"/>
      <c r="U107" s="299">
        <v>3000</v>
      </c>
      <c r="V107" s="299">
        <v>1487</v>
      </c>
      <c r="W107" s="186"/>
      <c r="X107" s="398">
        <v>3000</v>
      </c>
      <c r="Y107" s="418">
        <v>2228</v>
      </c>
      <c r="Z107" s="418">
        <f t="shared" si="18"/>
        <v>772</v>
      </c>
      <c r="AA107" s="388" t="s">
        <v>549</v>
      </c>
      <c r="AB107" s="539">
        <v>4000</v>
      </c>
      <c r="AC107" s="539">
        <v>4000</v>
      </c>
      <c r="AD107" s="539">
        <v>4000</v>
      </c>
      <c r="AE107" s="540"/>
    </row>
    <row r="108" spans="1:31" ht="60">
      <c r="A108" s="111">
        <v>63090</v>
      </c>
      <c r="B108" s="193" t="s">
        <v>208</v>
      </c>
      <c r="C108" s="73"/>
      <c r="D108" s="194"/>
      <c r="E108" s="194"/>
      <c r="F108" s="194"/>
      <c r="G108" s="73"/>
      <c r="H108" s="194"/>
      <c r="I108" s="194"/>
      <c r="J108" s="194"/>
      <c r="K108" s="73"/>
      <c r="L108" s="194"/>
      <c r="M108" s="194"/>
      <c r="N108" s="194">
        <f t="shared" si="17"/>
        <v>0</v>
      </c>
      <c r="O108" s="194"/>
      <c r="P108" s="73"/>
      <c r="Q108" s="194">
        <v>2583</v>
      </c>
      <c r="R108" s="195">
        <v>3160</v>
      </c>
      <c r="S108" s="282">
        <f t="shared" si="16"/>
        <v>577</v>
      </c>
      <c r="T108" s="186"/>
      <c r="U108" s="300">
        <v>0</v>
      </c>
      <c r="V108" s="299">
        <v>0</v>
      </c>
      <c r="W108" s="186"/>
      <c r="X108" s="398">
        <v>0</v>
      </c>
      <c r="Y108" s="418">
        <v>0</v>
      </c>
      <c r="Z108" s="418">
        <f t="shared" si="18"/>
        <v>0</v>
      </c>
      <c r="AA108" s="185" t="s">
        <v>223</v>
      </c>
      <c r="AB108" s="539">
        <v>1000</v>
      </c>
      <c r="AC108" s="539">
        <v>1000</v>
      </c>
      <c r="AD108" s="539">
        <v>1000</v>
      </c>
      <c r="AE108" s="540" t="s">
        <v>658</v>
      </c>
    </row>
    <row r="109" spans="1:31" ht="30">
      <c r="A109" s="69"/>
      <c r="B109" s="187" t="s">
        <v>81</v>
      </c>
      <c r="C109" s="73"/>
      <c r="D109" s="181"/>
      <c r="E109" s="181"/>
      <c r="F109" s="181"/>
      <c r="G109" s="73"/>
      <c r="H109" s="181"/>
      <c r="I109" s="181">
        <v>0</v>
      </c>
      <c r="J109" s="181"/>
      <c r="K109" s="73"/>
      <c r="L109" s="181"/>
      <c r="M109" s="181">
        <v>0</v>
      </c>
      <c r="N109" s="181">
        <f t="shared" si="17"/>
        <v>0</v>
      </c>
      <c r="O109" s="181"/>
      <c r="P109" s="73"/>
      <c r="Q109" s="181">
        <v>3000</v>
      </c>
      <c r="R109" s="189">
        <v>0</v>
      </c>
      <c r="S109" s="282">
        <f t="shared" si="16"/>
        <v>-3000</v>
      </c>
      <c r="T109" s="184"/>
      <c r="U109" s="299">
        <v>3000</v>
      </c>
      <c r="V109" s="299">
        <v>0</v>
      </c>
      <c r="W109" s="186"/>
      <c r="X109" s="398">
        <v>3000</v>
      </c>
      <c r="Y109" s="418">
        <v>0</v>
      </c>
      <c r="Z109" s="418">
        <f t="shared" si="18"/>
        <v>3000</v>
      </c>
      <c r="AA109" s="185"/>
      <c r="AB109" s="539">
        <v>3000</v>
      </c>
      <c r="AC109" s="539">
        <v>3000</v>
      </c>
      <c r="AD109" s="539">
        <v>3000</v>
      </c>
      <c r="AE109" s="540" t="s">
        <v>659</v>
      </c>
    </row>
    <row r="110" spans="1:31" ht="60">
      <c r="A110" s="111">
        <v>63075</v>
      </c>
      <c r="B110" s="187" t="s">
        <v>82</v>
      </c>
      <c r="C110" s="73"/>
      <c r="D110" s="181">
        <v>2000</v>
      </c>
      <c r="E110" s="181">
        <v>940</v>
      </c>
      <c r="F110" s="181">
        <f>D110-E110</f>
        <v>1060</v>
      </c>
      <c r="G110" s="73"/>
      <c r="H110" s="181">
        <v>1500</v>
      </c>
      <c r="I110" s="181">
        <v>130</v>
      </c>
      <c r="J110" s="181">
        <f>H110-I110</f>
        <v>1370</v>
      </c>
      <c r="K110" s="73"/>
      <c r="L110" s="181">
        <v>500</v>
      </c>
      <c r="M110" s="181">
        <v>2706</v>
      </c>
      <c r="N110" s="181">
        <f t="shared" si="17"/>
        <v>-2206</v>
      </c>
      <c r="O110" s="181"/>
      <c r="P110" s="73"/>
      <c r="Q110" s="181">
        <v>500</v>
      </c>
      <c r="R110" s="189">
        <v>325</v>
      </c>
      <c r="S110" s="282">
        <f t="shared" si="16"/>
        <v>-175</v>
      </c>
      <c r="T110" s="184"/>
      <c r="U110" s="299">
        <v>500</v>
      </c>
      <c r="V110" s="299">
        <v>500</v>
      </c>
      <c r="W110" s="186"/>
      <c r="X110" s="398">
        <v>500</v>
      </c>
      <c r="Y110" s="418">
        <v>960</v>
      </c>
      <c r="Z110" s="418">
        <f t="shared" si="18"/>
        <v>-460</v>
      </c>
      <c r="AA110" s="185"/>
      <c r="AB110" s="539">
        <v>3000</v>
      </c>
      <c r="AC110" s="539">
        <v>3000</v>
      </c>
      <c r="AD110" s="539">
        <v>3000</v>
      </c>
      <c r="AE110" s="540" t="s">
        <v>660</v>
      </c>
    </row>
    <row r="111" spans="1:31" ht="45">
      <c r="A111" s="111"/>
      <c r="B111" s="187" t="s">
        <v>451</v>
      </c>
      <c r="C111" s="73"/>
      <c r="D111" s="181"/>
      <c r="E111" s="181"/>
      <c r="F111" s="181"/>
      <c r="G111" s="73"/>
      <c r="H111" s="181"/>
      <c r="I111" s="181"/>
      <c r="J111" s="181"/>
      <c r="K111" s="73"/>
      <c r="L111" s="181"/>
      <c r="M111" s="181"/>
      <c r="N111" s="181"/>
      <c r="O111" s="181"/>
      <c r="P111" s="73"/>
      <c r="Q111" s="181"/>
      <c r="R111" s="189"/>
      <c r="S111" s="282"/>
      <c r="T111" s="184"/>
      <c r="U111" s="299">
        <v>0</v>
      </c>
      <c r="V111" s="299">
        <v>0</v>
      </c>
      <c r="W111" s="186"/>
      <c r="X111" s="398">
        <v>750</v>
      </c>
      <c r="Y111" s="418">
        <v>0</v>
      </c>
      <c r="Z111" s="418">
        <f t="shared" si="18"/>
        <v>750</v>
      </c>
      <c r="AA111" s="185"/>
      <c r="AB111" s="539">
        <v>1000</v>
      </c>
      <c r="AC111" s="539">
        <v>1000</v>
      </c>
      <c r="AD111" s="539">
        <v>1000</v>
      </c>
      <c r="AE111" s="540" t="s">
        <v>661</v>
      </c>
    </row>
    <row r="112" spans="1:31" ht="45">
      <c r="A112" s="111"/>
      <c r="B112" s="325" t="s">
        <v>452</v>
      </c>
      <c r="C112" s="73"/>
      <c r="D112" s="181"/>
      <c r="E112" s="181"/>
      <c r="F112" s="181"/>
      <c r="G112" s="73"/>
      <c r="H112" s="181"/>
      <c r="I112" s="181"/>
      <c r="J112" s="181"/>
      <c r="K112" s="73"/>
      <c r="L112" s="181"/>
      <c r="M112" s="181"/>
      <c r="N112" s="181"/>
      <c r="O112" s="181"/>
      <c r="P112" s="73"/>
      <c r="Q112" s="181"/>
      <c r="R112" s="189"/>
      <c r="S112" s="282"/>
      <c r="T112" s="184"/>
      <c r="U112" s="299">
        <v>0</v>
      </c>
      <c r="V112" s="299">
        <v>0</v>
      </c>
      <c r="W112" s="186"/>
      <c r="X112" s="398">
        <v>2000</v>
      </c>
      <c r="Y112" s="418">
        <v>0</v>
      </c>
      <c r="Z112" s="418">
        <f t="shared" si="18"/>
        <v>2000</v>
      </c>
      <c r="AA112" s="185"/>
      <c r="AB112" s="539">
        <v>2000</v>
      </c>
      <c r="AC112" s="539">
        <v>2000</v>
      </c>
      <c r="AD112" s="539">
        <v>2000</v>
      </c>
      <c r="AE112" s="540" t="s">
        <v>662</v>
      </c>
    </row>
    <row r="113" spans="1:31">
      <c r="A113" s="69"/>
      <c r="B113" s="196" t="s">
        <v>83</v>
      </c>
      <c r="C113" s="71"/>
      <c r="D113" s="197">
        <f>SUM(D99:D110)</f>
        <v>61400</v>
      </c>
      <c r="E113" s="197">
        <f>SUM(E99:E110)</f>
        <v>35892</v>
      </c>
      <c r="F113" s="197">
        <f>D113-E113</f>
        <v>25508</v>
      </c>
      <c r="G113" s="73"/>
      <c r="H113" s="197">
        <f>SUM(H99:H110)</f>
        <v>61300</v>
      </c>
      <c r="I113" s="197">
        <f>SUM(I99:I110)</f>
        <v>54542</v>
      </c>
      <c r="J113" s="181">
        <f>H113-I113</f>
        <v>6758</v>
      </c>
      <c r="K113" s="73"/>
      <c r="L113" s="197">
        <f>SUM(L99:L110)</f>
        <v>61600</v>
      </c>
      <c r="M113" s="197">
        <f>SUM(M99:M110)</f>
        <v>65501</v>
      </c>
      <c r="N113" s="181">
        <f t="shared" si="17"/>
        <v>-3901</v>
      </c>
      <c r="O113" s="181"/>
      <c r="P113" s="73"/>
      <c r="Q113" s="197">
        <f>SUM(Q99:Q110)</f>
        <v>70483</v>
      </c>
      <c r="R113" s="190">
        <f>SUM(R99:R110)</f>
        <v>57520</v>
      </c>
      <c r="S113" s="282">
        <f t="shared" si="16"/>
        <v>-12963</v>
      </c>
      <c r="T113" s="198"/>
      <c r="U113" s="301">
        <f>SUM(U99:U112)</f>
        <v>67900</v>
      </c>
      <c r="V113" s="301">
        <f>SUM(V99:V112)</f>
        <v>62919</v>
      </c>
      <c r="W113" s="200"/>
      <c r="X113" s="396">
        <f>SUM(X99:X112)</f>
        <v>69650</v>
      </c>
      <c r="Y113" s="419">
        <f>SUM(Y99:Y112)</f>
        <v>31739</v>
      </c>
      <c r="Z113" s="419">
        <f>SUM(Z99:Z112)</f>
        <v>37911</v>
      </c>
      <c r="AA113" s="199"/>
      <c r="AB113" s="396">
        <f>SUM(AB99:AB112)</f>
        <v>73000</v>
      </c>
      <c r="AC113" s="396">
        <f>SUM(AC99:AC112)</f>
        <v>73000</v>
      </c>
      <c r="AD113" s="396">
        <f>SUM(AD99:AD112)</f>
        <v>73000</v>
      </c>
      <c r="AE113" s="554"/>
    </row>
    <row r="114" spans="1:31">
      <c r="A114" s="69"/>
      <c r="B114" s="107"/>
      <c r="C114" s="73"/>
      <c r="D114" s="107"/>
      <c r="E114" s="107"/>
      <c r="F114" s="107"/>
      <c r="G114" s="73"/>
      <c r="H114" s="107"/>
      <c r="I114" s="107"/>
      <c r="J114" s="107"/>
      <c r="K114" s="73"/>
      <c r="L114" s="107"/>
      <c r="M114" s="107"/>
      <c r="N114" s="107"/>
      <c r="O114" s="107"/>
      <c r="P114" s="73"/>
      <c r="Q114" s="107"/>
      <c r="R114" s="201"/>
      <c r="S114" s="201"/>
      <c r="T114" s="110"/>
      <c r="U114" s="178"/>
      <c r="V114" s="178"/>
      <c r="W114" s="110"/>
      <c r="X114" s="398"/>
      <c r="Y114" s="406"/>
      <c r="Z114" s="406"/>
      <c r="AA114" s="105"/>
      <c r="AB114" s="398"/>
      <c r="AC114" s="398"/>
      <c r="AD114" s="398"/>
      <c r="AE114" s="549"/>
    </row>
    <row r="115" spans="1:31">
      <c r="A115" s="69"/>
      <c r="B115" s="203" t="s">
        <v>84</v>
      </c>
      <c r="C115" s="71"/>
      <c r="D115" s="204"/>
      <c r="E115" s="204"/>
      <c r="F115" s="204"/>
      <c r="G115" s="73"/>
      <c r="H115" s="204"/>
      <c r="I115" s="204"/>
      <c r="J115" s="204"/>
      <c r="K115" s="73"/>
      <c r="L115" s="204"/>
      <c r="M115" s="204"/>
      <c r="N115" s="204"/>
      <c r="O115" s="204"/>
      <c r="P115" s="73"/>
      <c r="Q115" s="204"/>
      <c r="R115" s="205"/>
      <c r="S115" s="205"/>
      <c r="T115" s="207"/>
      <c r="U115" s="292"/>
      <c r="V115" s="292"/>
      <c r="W115" s="209"/>
      <c r="X115" s="398"/>
      <c r="Y115" s="420"/>
      <c r="Z115" s="420"/>
      <c r="AA115" s="208"/>
      <c r="AB115" s="398"/>
      <c r="AC115" s="398"/>
      <c r="AD115" s="398"/>
      <c r="AE115" s="326"/>
    </row>
    <row r="116" spans="1:31" ht="15">
      <c r="A116" s="111">
        <v>66005</v>
      </c>
      <c r="B116" s="210" t="s">
        <v>85</v>
      </c>
      <c r="C116" s="73"/>
      <c r="D116" s="204">
        <v>6000</v>
      </c>
      <c r="E116" s="204">
        <v>6185</v>
      </c>
      <c r="F116" s="204">
        <f t="shared" ref="F116:F130" si="19">D116-E116</f>
        <v>-185</v>
      </c>
      <c r="G116" s="73"/>
      <c r="H116" s="204">
        <v>6200</v>
      </c>
      <c r="I116" s="204">
        <v>6685</v>
      </c>
      <c r="J116" s="204">
        <f t="shared" ref="J116:J141" si="20">H116-I116</f>
        <v>-485</v>
      </c>
      <c r="K116" s="73"/>
      <c r="L116" s="204">
        <v>6700</v>
      </c>
      <c r="M116" s="204">
        <v>6884</v>
      </c>
      <c r="N116" s="204">
        <f>L116-M116</f>
        <v>-184</v>
      </c>
      <c r="O116" s="204"/>
      <c r="P116" s="73"/>
      <c r="Q116" s="204">
        <v>6900</v>
      </c>
      <c r="R116" s="205">
        <v>7555</v>
      </c>
      <c r="S116" s="283">
        <f t="shared" ref="S116:S142" si="21">R116-Q116</f>
        <v>655</v>
      </c>
      <c r="T116" s="211" t="s">
        <v>145</v>
      </c>
      <c r="U116" s="292">
        <v>8000</v>
      </c>
      <c r="V116" s="292">
        <v>10531</v>
      </c>
      <c r="W116" s="209"/>
      <c r="X116" s="398">
        <v>11000</v>
      </c>
      <c r="Y116" s="420">
        <v>11050</v>
      </c>
      <c r="Z116" s="420">
        <f>X116-Y116</f>
        <v>-50</v>
      </c>
      <c r="AA116" s="211" t="s">
        <v>145</v>
      </c>
      <c r="AB116" s="398">
        <v>11000</v>
      </c>
      <c r="AC116" s="398">
        <v>11000</v>
      </c>
      <c r="AD116" s="398">
        <v>11000</v>
      </c>
      <c r="AE116" s="375" t="s">
        <v>145</v>
      </c>
    </row>
    <row r="117" spans="1:31" ht="15">
      <c r="A117" s="111">
        <v>66010</v>
      </c>
      <c r="B117" s="210" t="s">
        <v>87</v>
      </c>
      <c r="C117" s="73"/>
      <c r="D117" s="204">
        <v>300</v>
      </c>
      <c r="E117" s="204">
        <v>315</v>
      </c>
      <c r="F117" s="204">
        <f t="shared" si="19"/>
        <v>-15</v>
      </c>
      <c r="G117" s="73"/>
      <c r="H117" s="204">
        <v>516</v>
      </c>
      <c r="I117" s="204">
        <v>421</v>
      </c>
      <c r="J117" s="204">
        <f t="shared" si="20"/>
        <v>95</v>
      </c>
      <c r="K117" s="136"/>
      <c r="L117" s="204">
        <v>516</v>
      </c>
      <c r="M117" s="204">
        <v>567</v>
      </c>
      <c r="N117" s="204">
        <f t="shared" ref="N117:N142" si="22">L117-M117</f>
        <v>-51</v>
      </c>
      <c r="O117" s="204"/>
      <c r="P117" s="73"/>
      <c r="Q117" s="204">
        <v>550</v>
      </c>
      <c r="R117" s="205">
        <v>546</v>
      </c>
      <c r="S117" s="283">
        <f t="shared" si="21"/>
        <v>-4</v>
      </c>
      <c r="T117" s="211" t="s">
        <v>86</v>
      </c>
      <c r="U117" s="292">
        <v>550</v>
      </c>
      <c r="V117" s="292">
        <v>541</v>
      </c>
      <c r="W117" s="209"/>
      <c r="X117" s="398">
        <v>550</v>
      </c>
      <c r="Y117" s="420">
        <v>708</v>
      </c>
      <c r="Z117" s="420">
        <f t="shared" ref="Z117:Z141" si="23">X117-Y117</f>
        <v>-158</v>
      </c>
      <c r="AA117" s="211" t="s">
        <v>86</v>
      </c>
      <c r="AB117" s="398">
        <v>550</v>
      </c>
      <c r="AC117" s="398">
        <v>550</v>
      </c>
      <c r="AD117" s="398">
        <v>550</v>
      </c>
      <c r="AE117" s="375" t="s">
        <v>86</v>
      </c>
    </row>
    <row r="118" spans="1:31">
      <c r="A118" s="111">
        <v>66015</v>
      </c>
      <c r="B118" s="210" t="s">
        <v>89</v>
      </c>
      <c r="C118" s="73"/>
      <c r="D118" s="204">
        <v>500</v>
      </c>
      <c r="E118" s="204">
        <v>312</v>
      </c>
      <c r="F118" s="204">
        <f t="shared" si="19"/>
        <v>188</v>
      </c>
      <c r="G118" s="73"/>
      <c r="H118" s="204">
        <v>1300</v>
      </c>
      <c r="I118" s="204">
        <v>828</v>
      </c>
      <c r="J118" s="204">
        <f t="shared" si="20"/>
        <v>472</v>
      </c>
      <c r="K118" s="136"/>
      <c r="L118" s="204">
        <v>1300</v>
      </c>
      <c r="M118" s="204">
        <v>1075</v>
      </c>
      <c r="N118" s="204">
        <f t="shared" si="22"/>
        <v>225</v>
      </c>
      <c r="O118" s="204"/>
      <c r="P118" s="73"/>
      <c r="Q118" s="204">
        <v>1300</v>
      </c>
      <c r="R118" s="205">
        <v>2528</v>
      </c>
      <c r="S118" s="283">
        <f t="shared" si="21"/>
        <v>1228</v>
      </c>
      <c r="T118" s="207"/>
      <c r="U118" s="292">
        <v>2000</v>
      </c>
      <c r="V118" s="292">
        <v>1339</v>
      </c>
      <c r="W118" s="209"/>
      <c r="X118" s="398">
        <v>2000</v>
      </c>
      <c r="Y118" s="420">
        <v>1255</v>
      </c>
      <c r="Z118" s="420">
        <f t="shared" si="23"/>
        <v>745</v>
      </c>
      <c r="AA118" s="207"/>
      <c r="AB118" s="398">
        <v>2000</v>
      </c>
      <c r="AC118" s="398">
        <v>2000</v>
      </c>
      <c r="AD118" s="398">
        <v>2000</v>
      </c>
      <c r="AE118" s="555"/>
    </row>
    <row r="119" spans="1:31" ht="15">
      <c r="A119" s="111">
        <v>66090</v>
      </c>
      <c r="B119" s="210" t="s">
        <v>90</v>
      </c>
      <c r="C119" s="73"/>
      <c r="D119" s="204">
        <v>4000</v>
      </c>
      <c r="E119" s="204">
        <v>4159</v>
      </c>
      <c r="F119" s="204">
        <f t="shared" si="19"/>
        <v>-159</v>
      </c>
      <c r="G119" s="73"/>
      <c r="H119" s="204">
        <v>4200</v>
      </c>
      <c r="I119" s="204">
        <v>4477</v>
      </c>
      <c r="J119" s="204">
        <f t="shared" si="20"/>
        <v>-277</v>
      </c>
      <c r="K119" s="73"/>
      <c r="L119" s="204">
        <v>4500</v>
      </c>
      <c r="M119" s="204">
        <v>4629</v>
      </c>
      <c r="N119" s="204">
        <f t="shared" si="22"/>
        <v>-129</v>
      </c>
      <c r="O119" s="204"/>
      <c r="P119" s="73"/>
      <c r="Q119" s="204">
        <v>4500</v>
      </c>
      <c r="R119" s="205">
        <v>4075</v>
      </c>
      <c r="S119" s="283">
        <f t="shared" si="21"/>
        <v>-425</v>
      </c>
      <c r="T119" s="207"/>
      <c r="U119" s="292">
        <v>4500</v>
      </c>
      <c r="V119" s="292">
        <v>4404</v>
      </c>
      <c r="W119" s="209"/>
      <c r="X119" s="398">
        <v>4500</v>
      </c>
      <c r="Y119" s="420">
        <v>5195</v>
      </c>
      <c r="Z119" s="420">
        <f t="shared" si="23"/>
        <v>-695</v>
      </c>
      <c r="AA119" s="207"/>
      <c r="AB119" s="398">
        <v>5000</v>
      </c>
      <c r="AC119" s="398">
        <v>5000</v>
      </c>
      <c r="AD119" s="398">
        <v>5000</v>
      </c>
      <c r="AE119" s="555" t="s">
        <v>685</v>
      </c>
    </row>
    <row r="120" spans="1:31" ht="15">
      <c r="A120" s="111">
        <v>66020</v>
      </c>
      <c r="B120" s="212" t="s">
        <v>410</v>
      </c>
      <c r="C120" s="73"/>
      <c r="D120" s="204">
        <v>200</v>
      </c>
      <c r="E120" s="204">
        <v>60</v>
      </c>
      <c r="F120" s="204">
        <f t="shared" si="19"/>
        <v>140</v>
      </c>
      <c r="G120" s="73"/>
      <c r="H120" s="204">
        <v>200</v>
      </c>
      <c r="I120" s="204">
        <v>100</v>
      </c>
      <c r="J120" s="204">
        <f t="shared" si="20"/>
        <v>100</v>
      </c>
      <c r="K120" s="73"/>
      <c r="L120" s="204">
        <v>200</v>
      </c>
      <c r="M120" s="204">
        <v>70</v>
      </c>
      <c r="N120" s="204">
        <f t="shared" si="22"/>
        <v>130</v>
      </c>
      <c r="O120" s="204"/>
      <c r="P120" s="73"/>
      <c r="Q120" s="204">
        <v>200</v>
      </c>
      <c r="R120" s="205">
        <v>130</v>
      </c>
      <c r="S120" s="283">
        <f t="shared" si="21"/>
        <v>-70</v>
      </c>
      <c r="T120" s="207"/>
      <c r="U120" s="292">
        <v>200</v>
      </c>
      <c r="V120" s="292">
        <v>50</v>
      </c>
      <c r="W120" s="209"/>
      <c r="X120" s="398">
        <v>100</v>
      </c>
      <c r="Y120" s="420">
        <v>60</v>
      </c>
      <c r="Z120" s="420">
        <f t="shared" si="23"/>
        <v>40</v>
      </c>
      <c r="AA120" s="207"/>
      <c r="AB120" s="398">
        <v>100</v>
      </c>
      <c r="AC120" s="398">
        <v>100</v>
      </c>
      <c r="AD120" s="398">
        <v>100</v>
      </c>
      <c r="AE120" s="555"/>
    </row>
    <row r="121" spans="1:31" ht="45">
      <c r="A121" s="111">
        <v>66025</v>
      </c>
      <c r="B121" s="212" t="s">
        <v>91</v>
      </c>
      <c r="C121" s="73"/>
      <c r="D121" s="204">
        <v>350</v>
      </c>
      <c r="E121" s="204">
        <v>160</v>
      </c>
      <c r="F121" s="204">
        <f t="shared" si="19"/>
        <v>190</v>
      </c>
      <c r="G121" s="73"/>
      <c r="H121" s="204">
        <v>350</v>
      </c>
      <c r="I121" s="204">
        <v>293</v>
      </c>
      <c r="J121" s="204">
        <f t="shared" si="20"/>
        <v>57</v>
      </c>
      <c r="K121" s="73"/>
      <c r="L121" s="204">
        <v>500</v>
      </c>
      <c r="M121" s="204">
        <v>511</v>
      </c>
      <c r="N121" s="204">
        <f t="shared" si="22"/>
        <v>-11</v>
      </c>
      <c r="O121" s="213" t="s">
        <v>92</v>
      </c>
      <c r="P121" s="73"/>
      <c r="Q121" s="204">
        <v>600</v>
      </c>
      <c r="R121" s="205">
        <v>290</v>
      </c>
      <c r="S121" s="283">
        <f t="shared" si="21"/>
        <v>-310</v>
      </c>
      <c r="T121" s="207"/>
      <c r="U121" s="292">
        <v>500</v>
      </c>
      <c r="V121" s="292">
        <v>166</v>
      </c>
      <c r="W121" s="209"/>
      <c r="X121" s="398">
        <v>1900</v>
      </c>
      <c r="Y121" s="420">
        <v>438</v>
      </c>
      <c r="Z121" s="420">
        <f t="shared" si="23"/>
        <v>1462</v>
      </c>
      <c r="AA121" s="389" t="s">
        <v>547</v>
      </c>
      <c r="AB121" s="398">
        <v>600</v>
      </c>
      <c r="AC121" s="398">
        <v>600</v>
      </c>
      <c r="AD121" s="398">
        <v>600</v>
      </c>
      <c r="AE121" s="555"/>
    </row>
    <row r="122" spans="1:31" ht="15">
      <c r="A122" s="111">
        <v>66017</v>
      </c>
      <c r="B122" s="210" t="s">
        <v>93</v>
      </c>
      <c r="C122" s="73"/>
      <c r="D122" s="204">
        <v>3000</v>
      </c>
      <c r="E122" s="204">
        <v>2706</v>
      </c>
      <c r="F122" s="204">
        <f t="shared" si="19"/>
        <v>294</v>
      </c>
      <c r="G122" s="73"/>
      <c r="H122" s="204">
        <v>6000</v>
      </c>
      <c r="I122" s="204">
        <v>0</v>
      </c>
      <c r="J122" s="204">
        <f t="shared" si="20"/>
        <v>6000</v>
      </c>
      <c r="K122" s="73"/>
      <c r="L122" s="204">
        <v>4500</v>
      </c>
      <c r="M122" s="204">
        <v>4144</v>
      </c>
      <c r="N122" s="204">
        <f t="shared" si="22"/>
        <v>356</v>
      </c>
      <c r="O122" s="204"/>
      <c r="P122" s="73"/>
      <c r="Q122" s="204">
        <v>5000</v>
      </c>
      <c r="R122" s="205">
        <v>0</v>
      </c>
      <c r="S122" s="283">
        <f t="shared" si="21"/>
        <v>-5000</v>
      </c>
      <c r="T122" s="207"/>
      <c r="U122" s="292">
        <v>5000</v>
      </c>
      <c r="V122" s="292">
        <v>0</v>
      </c>
      <c r="W122" s="209"/>
      <c r="X122" s="398">
        <v>2000</v>
      </c>
      <c r="Y122" s="420">
        <v>0</v>
      </c>
      <c r="Z122" s="420">
        <f t="shared" si="23"/>
        <v>2000</v>
      </c>
      <c r="AA122" s="207" t="s">
        <v>532</v>
      </c>
      <c r="AB122" s="398">
        <v>2000</v>
      </c>
      <c r="AC122" s="398">
        <v>2000</v>
      </c>
      <c r="AD122" s="398">
        <v>2000</v>
      </c>
      <c r="AE122" s="555" t="s">
        <v>532</v>
      </c>
    </row>
    <row r="123" spans="1:31" ht="15">
      <c r="A123" s="111">
        <v>66030</v>
      </c>
      <c r="B123" s="210" t="s">
        <v>94</v>
      </c>
      <c r="C123" s="73"/>
      <c r="D123" s="204">
        <v>300</v>
      </c>
      <c r="E123" s="204">
        <v>0</v>
      </c>
      <c r="F123" s="204">
        <f t="shared" si="19"/>
        <v>300</v>
      </c>
      <c r="G123" s="73"/>
      <c r="H123" s="204">
        <v>300</v>
      </c>
      <c r="I123" s="204">
        <v>300</v>
      </c>
      <c r="J123" s="204">
        <f t="shared" si="20"/>
        <v>0</v>
      </c>
      <c r="K123" s="73"/>
      <c r="L123" s="204">
        <v>660</v>
      </c>
      <c r="M123" s="204">
        <v>660</v>
      </c>
      <c r="N123" s="204">
        <f t="shared" si="22"/>
        <v>0</v>
      </c>
      <c r="O123" s="213" t="s">
        <v>95</v>
      </c>
      <c r="P123" s="73"/>
      <c r="Q123" s="204">
        <v>660</v>
      </c>
      <c r="R123" s="205">
        <v>660</v>
      </c>
      <c r="S123" s="283">
        <f t="shared" si="21"/>
        <v>0</v>
      </c>
      <c r="T123" s="207"/>
      <c r="U123" s="292">
        <v>660</v>
      </c>
      <c r="V123" s="292">
        <v>660</v>
      </c>
      <c r="W123" s="209"/>
      <c r="X123" s="398">
        <v>660</v>
      </c>
      <c r="Y123" s="420">
        <v>660</v>
      </c>
      <c r="Z123" s="420">
        <f t="shared" si="23"/>
        <v>0</v>
      </c>
      <c r="AA123" s="207" t="s">
        <v>533</v>
      </c>
      <c r="AB123" s="398">
        <v>660</v>
      </c>
      <c r="AC123" s="398">
        <v>660</v>
      </c>
      <c r="AD123" s="398">
        <v>660</v>
      </c>
      <c r="AE123" s="555" t="s">
        <v>533</v>
      </c>
    </row>
    <row r="124" spans="1:31" ht="15">
      <c r="A124" s="111">
        <v>66035</v>
      </c>
      <c r="B124" s="210" t="s">
        <v>96</v>
      </c>
      <c r="C124" s="73"/>
      <c r="D124" s="204">
        <v>700</v>
      </c>
      <c r="E124" s="204">
        <v>718</v>
      </c>
      <c r="F124" s="204">
        <f t="shared" si="19"/>
        <v>-18</v>
      </c>
      <c r="G124" s="73"/>
      <c r="H124" s="204">
        <v>700</v>
      </c>
      <c r="I124" s="204">
        <v>451</v>
      </c>
      <c r="J124" s="204">
        <f t="shared" si="20"/>
        <v>249</v>
      </c>
      <c r="K124" s="73"/>
      <c r="L124" s="204">
        <v>650</v>
      </c>
      <c r="M124" s="204">
        <v>220</v>
      </c>
      <c r="N124" s="204">
        <f t="shared" si="22"/>
        <v>430</v>
      </c>
      <c r="O124" s="204"/>
      <c r="P124" s="73"/>
      <c r="Q124" s="204">
        <v>600</v>
      </c>
      <c r="R124" s="205">
        <v>348</v>
      </c>
      <c r="S124" s="283">
        <f t="shared" si="21"/>
        <v>-252</v>
      </c>
      <c r="T124" s="211" t="s">
        <v>107</v>
      </c>
      <c r="U124" s="292">
        <v>425</v>
      </c>
      <c r="V124" s="292">
        <v>163</v>
      </c>
      <c r="W124" s="209"/>
      <c r="X124" s="398">
        <v>300</v>
      </c>
      <c r="Y124" s="420">
        <v>65</v>
      </c>
      <c r="Z124" s="420">
        <f t="shared" si="23"/>
        <v>235</v>
      </c>
      <c r="AA124" s="211" t="s">
        <v>107</v>
      </c>
      <c r="AB124" s="398">
        <v>325</v>
      </c>
      <c r="AC124" s="398">
        <v>325</v>
      </c>
      <c r="AD124" s="398">
        <v>325</v>
      </c>
      <c r="AE124" s="375" t="s">
        <v>107</v>
      </c>
    </row>
    <row r="125" spans="1:31" ht="15">
      <c r="A125" s="111">
        <v>66105</v>
      </c>
      <c r="B125" s="210" t="s">
        <v>98</v>
      </c>
      <c r="C125" s="73"/>
      <c r="D125" s="204">
        <v>200</v>
      </c>
      <c r="E125" s="204">
        <v>0</v>
      </c>
      <c r="F125" s="204">
        <f t="shared" si="19"/>
        <v>200</v>
      </c>
      <c r="G125" s="73"/>
      <c r="H125" s="204">
        <v>0</v>
      </c>
      <c r="I125" s="204"/>
      <c r="J125" s="204">
        <f t="shared" si="20"/>
        <v>0</v>
      </c>
      <c r="K125" s="136"/>
      <c r="L125" s="204">
        <v>0</v>
      </c>
      <c r="M125" s="204">
        <v>0</v>
      </c>
      <c r="N125" s="204">
        <f t="shared" si="22"/>
        <v>0</v>
      </c>
      <c r="O125" s="204"/>
      <c r="P125" s="73"/>
      <c r="Q125" s="204">
        <v>0</v>
      </c>
      <c r="R125" s="205"/>
      <c r="S125" s="283">
        <f t="shared" si="21"/>
        <v>0</v>
      </c>
      <c r="T125" s="211" t="s">
        <v>107</v>
      </c>
      <c r="U125" s="293"/>
      <c r="V125" s="292">
        <v>0</v>
      </c>
      <c r="W125" s="209" t="s">
        <v>223</v>
      </c>
      <c r="X125" s="398">
        <v>0</v>
      </c>
      <c r="Y125" s="420">
        <v>0</v>
      </c>
      <c r="Z125" s="420">
        <f t="shared" si="23"/>
        <v>0</v>
      </c>
      <c r="AA125" s="211" t="s">
        <v>107</v>
      </c>
      <c r="AB125" s="398">
        <v>0</v>
      </c>
      <c r="AC125" s="398">
        <v>0</v>
      </c>
      <c r="AD125" s="398">
        <v>0</v>
      </c>
      <c r="AE125" s="375" t="s">
        <v>107</v>
      </c>
    </row>
    <row r="126" spans="1:31">
      <c r="A126" s="111">
        <v>66027</v>
      </c>
      <c r="B126" s="210" t="s">
        <v>99</v>
      </c>
      <c r="C126" s="73"/>
      <c r="D126" s="204">
        <v>2500</v>
      </c>
      <c r="E126" s="204">
        <v>123</v>
      </c>
      <c r="F126" s="204">
        <f t="shared" si="19"/>
        <v>2377</v>
      </c>
      <c r="G126" s="73"/>
      <c r="H126" s="204">
        <v>2500</v>
      </c>
      <c r="I126" s="204">
        <v>165</v>
      </c>
      <c r="J126" s="204">
        <f t="shared" si="20"/>
        <v>2335</v>
      </c>
      <c r="K126" s="73"/>
      <c r="L126" s="204">
        <v>2500</v>
      </c>
      <c r="M126" s="204">
        <v>19039</v>
      </c>
      <c r="N126" s="204">
        <f t="shared" si="22"/>
        <v>-16539</v>
      </c>
      <c r="O126" s="204"/>
      <c r="P126" s="73"/>
      <c r="Q126" s="204">
        <v>3000</v>
      </c>
      <c r="R126" s="205">
        <v>0</v>
      </c>
      <c r="S126" s="283">
        <f t="shared" si="21"/>
        <v>-3000</v>
      </c>
      <c r="T126" s="207"/>
      <c r="U126" s="292">
        <v>3000</v>
      </c>
      <c r="V126" s="292">
        <v>13202</v>
      </c>
      <c r="W126" s="209" t="s">
        <v>528</v>
      </c>
      <c r="X126" s="398">
        <v>6000</v>
      </c>
      <c r="Y126" s="420">
        <v>18844</v>
      </c>
      <c r="Z126" s="420">
        <f t="shared" si="23"/>
        <v>-12844</v>
      </c>
      <c r="AA126" s="211"/>
      <c r="AB126" s="398">
        <v>6000</v>
      </c>
      <c r="AC126" s="398">
        <v>6000</v>
      </c>
      <c r="AD126" s="398">
        <v>6000</v>
      </c>
      <c r="AE126" s="375"/>
    </row>
    <row r="127" spans="1:31" ht="15">
      <c r="A127" s="111">
        <v>62095</v>
      </c>
      <c r="B127" s="212" t="s">
        <v>100</v>
      </c>
      <c r="C127" s="73"/>
      <c r="D127" s="204">
        <v>85000</v>
      </c>
      <c r="E127" s="204">
        <v>87201</v>
      </c>
      <c r="F127" s="204">
        <f t="shared" si="19"/>
        <v>-2201</v>
      </c>
      <c r="G127" s="73"/>
      <c r="H127" s="204">
        <v>85000</v>
      </c>
      <c r="I127" s="204">
        <v>84372</v>
      </c>
      <c r="J127" s="204">
        <f t="shared" si="20"/>
        <v>628</v>
      </c>
      <c r="K127" s="73"/>
      <c r="L127" s="204">
        <v>85000</v>
      </c>
      <c r="M127" s="204">
        <v>84298</v>
      </c>
      <c r="N127" s="204">
        <f t="shared" si="22"/>
        <v>702</v>
      </c>
      <c r="O127" s="204"/>
      <c r="P127" s="73"/>
      <c r="Q127" s="204">
        <v>85000</v>
      </c>
      <c r="R127" s="205">
        <v>85304</v>
      </c>
      <c r="S127" s="283">
        <f t="shared" si="21"/>
        <v>304</v>
      </c>
      <c r="T127" s="211" t="s">
        <v>35</v>
      </c>
      <c r="U127" s="292">
        <v>89000</v>
      </c>
      <c r="V127" s="292">
        <v>87934</v>
      </c>
      <c r="W127" s="214" t="s">
        <v>411</v>
      </c>
      <c r="X127" s="398">
        <v>89000</v>
      </c>
      <c r="Y127" s="420">
        <v>84298</v>
      </c>
      <c r="Z127" s="420">
        <f t="shared" si="23"/>
        <v>4702</v>
      </c>
      <c r="AA127" s="211" t="s">
        <v>35</v>
      </c>
      <c r="AB127" s="398">
        <v>89000</v>
      </c>
      <c r="AC127" s="398">
        <v>89000</v>
      </c>
      <c r="AD127" s="398">
        <v>89000</v>
      </c>
      <c r="AE127" s="375" t="s">
        <v>35</v>
      </c>
    </row>
    <row r="128" spans="1:31" ht="15">
      <c r="A128" s="111">
        <v>33110</v>
      </c>
      <c r="B128" s="212" t="s">
        <v>384</v>
      </c>
      <c r="C128" s="73"/>
      <c r="D128" s="204">
        <v>800</v>
      </c>
      <c r="E128" s="204">
        <v>154</v>
      </c>
      <c r="F128" s="204">
        <f t="shared" si="19"/>
        <v>646</v>
      </c>
      <c r="G128" s="73"/>
      <c r="H128" s="204">
        <v>300</v>
      </c>
      <c r="I128" s="204">
        <v>345</v>
      </c>
      <c r="J128" s="204">
        <f t="shared" si="20"/>
        <v>-45</v>
      </c>
      <c r="K128" s="73"/>
      <c r="L128" s="204">
        <v>400</v>
      </c>
      <c r="M128" s="204">
        <v>94</v>
      </c>
      <c r="N128" s="204">
        <f t="shared" si="22"/>
        <v>306</v>
      </c>
      <c r="O128" s="204"/>
      <c r="P128" s="73"/>
      <c r="Q128" s="204">
        <v>300</v>
      </c>
      <c r="R128" s="205">
        <v>182</v>
      </c>
      <c r="S128" s="283">
        <f t="shared" si="21"/>
        <v>-118</v>
      </c>
      <c r="T128" s="211" t="s">
        <v>107</v>
      </c>
      <c r="U128" s="292">
        <v>300</v>
      </c>
      <c r="V128" s="292">
        <v>67</v>
      </c>
      <c r="W128" s="209"/>
      <c r="X128" s="398">
        <v>300</v>
      </c>
      <c r="Y128" s="420">
        <v>0</v>
      </c>
      <c r="Z128" s="420">
        <f t="shared" si="23"/>
        <v>300</v>
      </c>
      <c r="AA128" s="211" t="s">
        <v>107</v>
      </c>
      <c r="AB128" s="398">
        <v>300</v>
      </c>
      <c r="AC128" s="398">
        <v>300</v>
      </c>
      <c r="AD128" s="398">
        <v>300</v>
      </c>
      <c r="AE128" s="375" t="s">
        <v>107</v>
      </c>
    </row>
    <row r="129" spans="1:31" ht="15">
      <c r="A129" s="111">
        <v>66045</v>
      </c>
      <c r="B129" s="212" t="s">
        <v>102</v>
      </c>
      <c r="C129" s="73"/>
      <c r="D129" s="204">
        <v>350</v>
      </c>
      <c r="E129" s="204">
        <v>81</v>
      </c>
      <c r="F129" s="204">
        <f t="shared" si="19"/>
        <v>269</v>
      </c>
      <c r="G129" s="73"/>
      <c r="H129" s="204">
        <v>350</v>
      </c>
      <c r="I129" s="204">
        <v>149</v>
      </c>
      <c r="J129" s="204">
        <f t="shared" si="20"/>
        <v>201</v>
      </c>
      <c r="K129" s="73"/>
      <c r="L129" s="204">
        <v>250</v>
      </c>
      <c r="M129" s="204">
        <v>86</v>
      </c>
      <c r="N129" s="204">
        <f t="shared" si="22"/>
        <v>164</v>
      </c>
      <c r="O129" s="204"/>
      <c r="P129" s="73"/>
      <c r="Q129" s="204">
        <v>250</v>
      </c>
      <c r="R129" s="205">
        <v>151</v>
      </c>
      <c r="S129" s="283">
        <f t="shared" si="21"/>
        <v>-99</v>
      </c>
      <c r="T129" s="211" t="s">
        <v>107</v>
      </c>
      <c r="U129" s="292">
        <v>250</v>
      </c>
      <c r="V129" s="292">
        <v>189</v>
      </c>
      <c r="W129" s="209"/>
      <c r="X129" s="398">
        <v>250</v>
      </c>
      <c r="Y129" s="420">
        <v>283</v>
      </c>
      <c r="Z129" s="420">
        <f t="shared" si="23"/>
        <v>-33</v>
      </c>
      <c r="AA129" s="211" t="s">
        <v>107</v>
      </c>
      <c r="AB129" s="398">
        <v>250</v>
      </c>
      <c r="AC129" s="398">
        <v>250</v>
      </c>
      <c r="AD129" s="398">
        <v>250</v>
      </c>
      <c r="AE129" s="375" t="s">
        <v>107</v>
      </c>
    </row>
    <row r="130" spans="1:31" ht="30">
      <c r="A130" s="111">
        <v>66040</v>
      </c>
      <c r="B130" s="212" t="s">
        <v>103</v>
      </c>
      <c r="C130" s="73"/>
      <c r="D130" s="204">
        <v>7000</v>
      </c>
      <c r="E130" s="204">
        <v>6472</v>
      </c>
      <c r="F130" s="204">
        <f t="shared" si="19"/>
        <v>528</v>
      </c>
      <c r="G130" s="73"/>
      <c r="H130" s="204">
        <v>7000</v>
      </c>
      <c r="I130" s="204">
        <v>6666</v>
      </c>
      <c r="J130" s="204">
        <f t="shared" si="20"/>
        <v>334</v>
      </c>
      <c r="K130" s="215"/>
      <c r="L130" s="204">
        <v>7000</v>
      </c>
      <c r="M130" s="204">
        <v>6740</v>
      </c>
      <c r="N130" s="204">
        <f t="shared" si="22"/>
        <v>260</v>
      </c>
      <c r="O130" s="204"/>
      <c r="P130" s="73"/>
      <c r="Q130" s="204">
        <v>7000</v>
      </c>
      <c r="R130" s="205">
        <v>6895</v>
      </c>
      <c r="S130" s="283">
        <f t="shared" si="21"/>
        <v>-105</v>
      </c>
      <c r="T130" s="211" t="s">
        <v>101</v>
      </c>
      <c r="U130" s="292">
        <v>7000</v>
      </c>
      <c r="V130" s="294">
        <v>6969</v>
      </c>
      <c r="W130" s="216" t="s">
        <v>383</v>
      </c>
      <c r="X130" s="398">
        <v>7044.25</v>
      </c>
      <c r="Y130" s="421">
        <v>7044</v>
      </c>
      <c r="Z130" s="420">
        <f t="shared" si="23"/>
        <v>0.25</v>
      </c>
      <c r="AA130" s="211" t="s">
        <v>101</v>
      </c>
      <c r="AB130" s="398">
        <v>7044.25</v>
      </c>
      <c r="AC130" s="398">
        <v>7044.25</v>
      </c>
      <c r="AD130" s="398">
        <v>7044.25</v>
      </c>
      <c r="AE130" s="375" t="s">
        <v>101</v>
      </c>
    </row>
    <row r="131" spans="1:31" ht="45">
      <c r="A131" s="69"/>
      <c r="B131" s="210" t="s">
        <v>104</v>
      </c>
      <c r="C131" s="73"/>
      <c r="D131" s="204"/>
      <c r="E131" s="204"/>
      <c r="F131" s="204"/>
      <c r="G131" s="73"/>
      <c r="H131" s="204">
        <v>1020</v>
      </c>
      <c r="I131" s="204">
        <v>1020</v>
      </c>
      <c r="J131" s="204">
        <f t="shared" si="20"/>
        <v>0</v>
      </c>
      <c r="K131" s="215"/>
      <c r="L131" s="204">
        <v>1200</v>
      </c>
      <c r="M131" s="204">
        <v>1155</v>
      </c>
      <c r="N131" s="204">
        <f t="shared" si="22"/>
        <v>45</v>
      </c>
      <c r="O131" s="204"/>
      <c r="P131" s="73"/>
      <c r="Q131" s="204">
        <v>1331</v>
      </c>
      <c r="R131" s="205">
        <v>1147</v>
      </c>
      <c r="S131" s="283">
        <f t="shared" si="21"/>
        <v>-184</v>
      </c>
      <c r="T131" s="207"/>
      <c r="U131" s="292">
        <v>1690</v>
      </c>
      <c r="V131" s="292">
        <v>1690</v>
      </c>
      <c r="W131" s="209"/>
      <c r="X131" s="398">
        <v>1724.82</v>
      </c>
      <c r="Y131" s="420">
        <v>1725</v>
      </c>
      <c r="Z131" s="420">
        <f t="shared" si="23"/>
        <v>-0.18000000000006366</v>
      </c>
      <c r="AA131" s="375" t="s">
        <v>526</v>
      </c>
      <c r="AB131" s="398">
        <v>1724.82</v>
      </c>
      <c r="AC131" s="398">
        <v>1724.82</v>
      </c>
      <c r="AD131" s="398">
        <v>1724.82</v>
      </c>
      <c r="AE131" s="375" t="s">
        <v>526</v>
      </c>
    </row>
    <row r="132" spans="1:31" ht="15">
      <c r="A132" s="111">
        <v>66050</v>
      </c>
      <c r="B132" s="212" t="s">
        <v>105</v>
      </c>
      <c r="C132" s="73"/>
      <c r="D132" s="204">
        <v>590</v>
      </c>
      <c r="E132" s="204">
        <v>320</v>
      </c>
      <c r="F132" s="204">
        <f t="shared" ref="F132:F141" si="24">D132-E132</f>
        <v>270</v>
      </c>
      <c r="G132" s="73"/>
      <c r="H132" s="204">
        <v>476</v>
      </c>
      <c r="I132" s="204">
        <v>564</v>
      </c>
      <c r="J132" s="204">
        <f t="shared" si="20"/>
        <v>-88</v>
      </c>
      <c r="K132" s="73"/>
      <c r="L132" s="204">
        <v>360</v>
      </c>
      <c r="M132" s="204">
        <v>365</v>
      </c>
      <c r="N132" s="204">
        <f t="shared" si="22"/>
        <v>-5</v>
      </c>
      <c r="O132" s="204"/>
      <c r="P132" s="73"/>
      <c r="Q132" s="204">
        <v>351</v>
      </c>
      <c r="R132" s="205">
        <v>78</v>
      </c>
      <c r="S132" s="283">
        <f t="shared" si="21"/>
        <v>-273</v>
      </c>
      <c r="T132" s="211" t="s">
        <v>107</v>
      </c>
      <c r="U132" s="292">
        <v>354</v>
      </c>
      <c r="V132" s="292">
        <v>295</v>
      </c>
      <c r="W132" s="209"/>
      <c r="X132" s="398">
        <v>439</v>
      </c>
      <c r="Y132" s="420">
        <v>208</v>
      </c>
      <c r="Z132" s="420">
        <f t="shared" si="23"/>
        <v>231</v>
      </c>
      <c r="AA132" s="326" t="s">
        <v>107</v>
      </c>
      <c r="AB132" s="398">
        <v>471</v>
      </c>
      <c r="AC132" s="398">
        <v>471</v>
      </c>
      <c r="AD132" s="398">
        <v>471</v>
      </c>
      <c r="AE132" s="326" t="s">
        <v>107</v>
      </c>
    </row>
    <row r="133" spans="1:31" ht="15">
      <c r="A133" s="111">
        <v>66055</v>
      </c>
      <c r="B133" s="210" t="s">
        <v>106</v>
      </c>
      <c r="C133" s="73"/>
      <c r="D133" s="204">
        <v>500</v>
      </c>
      <c r="E133" s="204">
        <v>583</v>
      </c>
      <c r="F133" s="204">
        <f t="shared" si="24"/>
        <v>-83</v>
      </c>
      <c r="G133" s="73"/>
      <c r="H133" s="204">
        <v>600</v>
      </c>
      <c r="I133" s="204">
        <v>625</v>
      </c>
      <c r="J133" s="204">
        <f t="shared" si="20"/>
        <v>-25</v>
      </c>
      <c r="K133" s="73"/>
      <c r="L133" s="204">
        <v>600</v>
      </c>
      <c r="M133" s="204">
        <v>645</v>
      </c>
      <c r="N133" s="204">
        <f t="shared" si="22"/>
        <v>-45</v>
      </c>
      <c r="O133" s="204"/>
      <c r="P133" s="73"/>
      <c r="Q133" s="204">
        <v>650</v>
      </c>
      <c r="R133" s="205">
        <v>613</v>
      </c>
      <c r="S133" s="283">
        <f t="shared" si="21"/>
        <v>-37</v>
      </c>
      <c r="T133" s="207"/>
      <c r="U133" s="292">
        <v>650</v>
      </c>
      <c r="V133" s="292">
        <v>462</v>
      </c>
      <c r="W133" s="209"/>
      <c r="X133" s="398">
        <v>900</v>
      </c>
      <c r="Y133" s="420">
        <v>2687</v>
      </c>
      <c r="Z133" s="420">
        <f t="shared" si="23"/>
        <v>-1787</v>
      </c>
      <c r="AA133" s="387" t="s">
        <v>546</v>
      </c>
      <c r="AB133" s="398">
        <v>2700</v>
      </c>
      <c r="AC133" s="398">
        <v>2700</v>
      </c>
      <c r="AD133" s="398">
        <v>2700</v>
      </c>
      <c r="AE133" s="326" t="s">
        <v>546</v>
      </c>
    </row>
    <row r="134" spans="1:31" ht="15">
      <c r="A134" s="111">
        <v>66080</v>
      </c>
      <c r="B134" s="212" t="s">
        <v>385</v>
      </c>
      <c r="C134" s="73"/>
      <c r="D134" s="204">
        <v>2500</v>
      </c>
      <c r="E134" s="204">
        <v>1529</v>
      </c>
      <c r="F134" s="204">
        <f t="shared" si="24"/>
        <v>971</v>
      </c>
      <c r="G134" s="73"/>
      <c r="H134" s="204">
        <v>2000</v>
      </c>
      <c r="I134" s="204">
        <v>1394</v>
      </c>
      <c r="J134" s="204">
        <f t="shared" si="20"/>
        <v>606</v>
      </c>
      <c r="K134" s="73"/>
      <c r="L134" s="204">
        <v>1500</v>
      </c>
      <c r="M134" s="204">
        <v>1361</v>
      </c>
      <c r="N134" s="204">
        <f t="shared" si="22"/>
        <v>139</v>
      </c>
      <c r="O134" s="204"/>
      <c r="P134" s="73"/>
      <c r="Q134" s="204">
        <v>1500</v>
      </c>
      <c r="R134" s="205">
        <v>1657</v>
      </c>
      <c r="S134" s="283">
        <f t="shared" si="21"/>
        <v>157</v>
      </c>
      <c r="T134" s="211" t="s">
        <v>382</v>
      </c>
      <c r="U134" s="292">
        <v>1800</v>
      </c>
      <c r="V134" s="292">
        <v>2598</v>
      </c>
      <c r="W134" s="209"/>
      <c r="X134" s="398">
        <v>2600</v>
      </c>
      <c r="Y134" s="420">
        <v>2230</v>
      </c>
      <c r="Z134" s="420">
        <f t="shared" si="23"/>
        <v>370</v>
      </c>
      <c r="AA134" s="208" t="s">
        <v>382</v>
      </c>
      <c r="AB134" s="398">
        <v>2600</v>
      </c>
      <c r="AC134" s="398">
        <v>2600</v>
      </c>
      <c r="AD134" s="398">
        <v>2600</v>
      </c>
      <c r="AE134" s="326" t="s">
        <v>382</v>
      </c>
    </row>
    <row r="135" spans="1:31">
      <c r="A135" s="111">
        <v>66060</v>
      </c>
      <c r="B135" s="210" t="s">
        <v>108</v>
      </c>
      <c r="C135" s="73"/>
      <c r="D135" s="204">
        <v>1300</v>
      </c>
      <c r="E135" s="204">
        <v>1300</v>
      </c>
      <c r="F135" s="204">
        <f t="shared" si="24"/>
        <v>0</v>
      </c>
      <c r="G135" s="73"/>
      <c r="H135" s="204">
        <v>1300</v>
      </c>
      <c r="I135" s="204">
        <v>1300</v>
      </c>
      <c r="J135" s="204">
        <f t="shared" si="20"/>
        <v>0</v>
      </c>
      <c r="K135" s="73"/>
      <c r="L135" s="204">
        <v>1300</v>
      </c>
      <c r="M135" s="204">
        <v>1300</v>
      </c>
      <c r="N135" s="204">
        <f t="shared" si="22"/>
        <v>0</v>
      </c>
      <c r="O135" s="204"/>
      <c r="P135" s="73"/>
      <c r="Q135" s="204">
        <v>1300</v>
      </c>
      <c r="R135" s="205">
        <v>1300</v>
      </c>
      <c r="S135" s="283">
        <f t="shared" si="21"/>
        <v>0</v>
      </c>
      <c r="T135" s="211" t="s">
        <v>20</v>
      </c>
      <c r="U135" s="292">
        <v>1300</v>
      </c>
      <c r="V135" s="292">
        <v>1300</v>
      </c>
      <c r="W135" s="209"/>
      <c r="X135" s="398">
        <v>1300</v>
      </c>
      <c r="Y135" s="420">
        <v>1300</v>
      </c>
      <c r="Z135" s="420">
        <f t="shared" si="23"/>
        <v>0</v>
      </c>
      <c r="AA135" s="208"/>
      <c r="AB135" s="398">
        <v>1300</v>
      </c>
      <c r="AC135" s="398">
        <v>1300</v>
      </c>
      <c r="AD135" s="398">
        <v>1300</v>
      </c>
      <c r="AE135" s="326"/>
    </row>
    <row r="136" spans="1:31">
      <c r="A136" s="111">
        <v>66075</v>
      </c>
      <c r="B136" s="210" t="s">
        <v>109</v>
      </c>
      <c r="C136" s="73"/>
      <c r="D136" s="204">
        <v>4000</v>
      </c>
      <c r="E136" s="204">
        <v>5242</v>
      </c>
      <c r="F136" s="204">
        <f t="shared" si="24"/>
        <v>-1242</v>
      </c>
      <c r="G136" s="73"/>
      <c r="H136" s="204">
        <v>4500</v>
      </c>
      <c r="I136" s="204">
        <v>4858</v>
      </c>
      <c r="J136" s="204">
        <f t="shared" si="20"/>
        <v>-358</v>
      </c>
      <c r="K136" s="73"/>
      <c r="L136" s="204">
        <v>5000</v>
      </c>
      <c r="M136" s="204">
        <v>3356</v>
      </c>
      <c r="N136" s="204">
        <f t="shared" si="22"/>
        <v>1644</v>
      </c>
      <c r="O136" s="204"/>
      <c r="P136" s="73"/>
      <c r="Q136" s="204">
        <v>5000</v>
      </c>
      <c r="R136" s="205">
        <v>3634</v>
      </c>
      <c r="S136" s="283">
        <f t="shared" si="21"/>
        <v>-1366</v>
      </c>
      <c r="T136" s="207"/>
      <c r="U136" s="292">
        <v>4200</v>
      </c>
      <c r="V136" s="292">
        <v>2992</v>
      </c>
      <c r="W136" s="209"/>
      <c r="X136" s="398">
        <v>3500</v>
      </c>
      <c r="Y136" s="420">
        <v>1677</v>
      </c>
      <c r="Z136" s="420">
        <f t="shared" si="23"/>
        <v>1823</v>
      </c>
      <c r="AA136" s="208"/>
      <c r="AB136" s="398">
        <v>3500</v>
      </c>
      <c r="AC136" s="398">
        <v>3500</v>
      </c>
      <c r="AD136" s="398">
        <v>3500</v>
      </c>
      <c r="AE136" s="326"/>
    </row>
    <row r="137" spans="1:31" ht="30">
      <c r="A137" s="111">
        <v>66140</v>
      </c>
      <c r="B137" s="212" t="s">
        <v>430</v>
      </c>
      <c r="C137" s="73"/>
      <c r="D137" s="204">
        <v>35000</v>
      </c>
      <c r="E137" s="204">
        <v>27642</v>
      </c>
      <c r="F137" s="204">
        <f t="shared" si="24"/>
        <v>7358</v>
      </c>
      <c r="G137" s="73"/>
      <c r="H137" s="204">
        <v>30000</v>
      </c>
      <c r="I137" s="204">
        <v>0</v>
      </c>
      <c r="J137" s="204">
        <f t="shared" si="20"/>
        <v>30000</v>
      </c>
      <c r="K137" s="73"/>
      <c r="L137" s="204">
        <v>30000</v>
      </c>
      <c r="M137" s="204">
        <v>26101</v>
      </c>
      <c r="N137" s="204">
        <f t="shared" si="22"/>
        <v>3899</v>
      </c>
      <c r="O137" s="204"/>
      <c r="P137" s="73"/>
      <c r="Q137" s="204">
        <v>30000</v>
      </c>
      <c r="R137" s="205">
        <v>22356</v>
      </c>
      <c r="S137" s="283">
        <f t="shared" si="21"/>
        <v>-7644</v>
      </c>
      <c r="T137" s="211" t="s">
        <v>107</v>
      </c>
      <c r="U137" s="293"/>
      <c r="V137" s="293"/>
      <c r="W137" s="209" t="s">
        <v>464</v>
      </c>
      <c r="X137" s="398">
        <v>0</v>
      </c>
      <c r="Y137" s="422"/>
      <c r="Z137" s="422"/>
      <c r="AA137" s="214" t="s">
        <v>534</v>
      </c>
      <c r="AB137" s="398">
        <v>0</v>
      </c>
      <c r="AC137" s="398">
        <v>0</v>
      </c>
      <c r="AD137" s="398">
        <v>0</v>
      </c>
      <c r="AE137" s="214" t="s">
        <v>534</v>
      </c>
    </row>
    <row r="138" spans="1:31" ht="15">
      <c r="A138" s="111">
        <v>66130</v>
      </c>
      <c r="B138" s="210" t="s">
        <v>110</v>
      </c>
      <c r="C138" s="73"/>
      <c r="D138" s="204">
        <v>200</v>
      </c>
      <c r="E138" s="204">
        <v>232</v>
      </c>
      <c r="F138" s="204">
        <f t="shared" si="24"/>
        <v>-32</v>
      </c>
      <c r="G138" s="73"/>
      <c r="H138" s="204">
        <v>200</v>
      </c>
      <c r="I138" s="204">
        <v>0</v>
      </c>
      <c r="J138" s="204">
        <f t="shared" si="20"/>
        <v>200</v>
      </c>
      <c r="K138" s="73"/>
      <c r="L138" s="204">
        <v>100</v>
      </c>
      <c r="M138" s="204">
        <v>0</v>
      </c>
      <c r="N138" s="204">
        <f t="shared" si="22"/>
        <v>100</v>
      </c>
      <c r="O138" s="204"/>
      <c r="P138" s="73"/>
      <c r="Q138" s="204">
        <v>200</v>
      </c>
      <c r="R138" s="205">
        <v>0</v>
      </c>
      <c r="S138" s="283">
        <f t="shared" si="21"/>
        <v>-200</v>
      </c>
      <c r="T138" s="211" t="s">
        <v>107</v>
      </c>
      <c r="U138" s="292">
        <v>200</v>
      </c>
      <c r="V138" s="292">
        <v>0</v>
      </c>
      <c r="W138" s="209"/>
      <c r="X138" s="398">
        <v>200</v>
      </c>
      <c r="Y138" s="420">
        <v>0</v>
      </c>
      <c r="Z138" s="420">
        <f t="shared" si="23"/>
        <v>200</v>
      </c>
      <c r="AA138" s="209" t="s">
        <v>107</v>
      </c>
      <c r="AB138" s="398">
        <v>200</v>
      </c>
      <c r="AC138" s="398">
        <v>200</v>
      </c>
      <c r="AD138" s="398">
        <v>200</v>
      </c>
      <c r="AE138" s="214" t="s">
        <v>107</v>
      </c>
    </row>
    <row r="139" spans="1:31" ht="45">
      <c r="A139" s="111">
        <v>66085</v>
      </c>
      <c r="B139" s="210" t="s">
        <v>111</v>
      </c>
      <c r="C139" s="73"/>
      <c r="D139" s="204">
        <v>4610</v>
      </c>
      <c r="E139" s="204">
        <v>3513</v>
      </c>
      <c r="F139" s="204">
        <f t="shared" si="24"/>
        <v>1097</v>
      </c>
      <c r="G139" s="73"/>
      <c r="H139" s="204">
        <v>4610</v>
      </c>
      <c r="I139" s="204">
        <v>4082</v>
      </c>
      <c r="J139" s="204">
        <f t="shared" si="20"/>
        <v>528</v>
      </c>
      <c r="K139" s="73"/>
      <c r="L139" s="204">
        <v>5238</v>
      </c>
      <c r="M139" s="204">
        <v>4756</v>
      </c>
      <c r="N139" s="204">
        <f t="shared" si="22"/>
        <v>482</v>
      </c>
      <c r="O139" s="217" t="s">
        <v>112</v>
      </c>
      <c r="P139" s="136"/>
      <c r="Q139" s="204">
        <v>5500</v>
      </c>
      <c r="R139" s="205">
        <v>4173</v>
      </c>
      <c r="S139" s="283">
        <f t="shared" si="21"/>
        <v>-1327</v>
      </c>
      <c r="T139" s="211" t="s">
        <v>107</v>
      </c>
      <c r="U139" s="292">
        <v>5240</v>
      </c>
      <c r="V139" s="292">
        <v>5001</v>
      </c>
      <c r="W139" s="209"/>
      <c r="X139" s="398">
        <v>4275</v>
      </c>
      <c r="Y139" s="420">
        <v>4549</v>
      </c>
      <c r="Z139" s="420">
        <f t="shared" si="23"/>
        <v>-274</v>
      </c>
      <c r="AA139" s="209" t="s">
        <v>107</v>
      </c>
      <c r="AB139" s="398">
        <v>5065</v>
      </c>
      <c r="AC139" s="398">
        <v>5065</v>
      </c>
      <c r="AD139" s="398">
        <v>5065</v>
      </c>
      <c r="AE139" s="214" t="s">
        <v>107</v>
      </c>
    </row>
    <row r="140" spans="1:31" ht="90">
      <c r="A140" s="111">
        <v>66100</v>
      </c>
      <c r="B140" s="210" t="s">
        <v>113</v>
      </c>
      <c r="C140" s="73"/>
      <c r="D140" s="204">
        <v>200</v>
      </c>
      <c r="E140" s="204">
        <v>200</v>
      </c>
      <c r="F140" s="204">
        <f t="shared" si="24"/>
        <v>0</v>
      </c>
      <c r="G140" s="73"/>
      <c r="H140" s="204">
        <v>200</v>
      </c>
      <c r="I140" s="204">
        <v>200</v>
      </c>
      <c r="J140" s="204">
        <f t="shared" si="20"/>
        <v>0</v>
      </c>
      <c r="K140" s="73"/>
      <c r="L140" s="204">
        <v>200</v>
      </c>
      <c r="M140" s="204">
        <v>200</v>
      </c>
      <c r="N140" s="204">
        <f t="shared" si="22"/>
        <v>0</v>
      </c>
      <c r="O140" s="204"/>
      <c r="P140" s="73"/>
      <c r="Q140" s="204">
        <v>200</v>
      </c>
      <c r="R140" s="205">
        <v>200</v>
      </c>
      <c r="S140" s="283">
        <f t="shared" si="21"/>
        <v>0</v>
      </c>
      <c r="T140" s="211" t="s">
        <v>114</v>
      </c>
      <c r="U140" s="292">
        <v>200</v>
      </c>
      <c r="V140" s="292">
        <v>0</v>
      </c>
      <c r="W140" s="209"/>
      <c r="X140" s="398">
        <v>300</v>
      </c>
      <c r="Y140" s="420">
        <v>200</v>
      </c>
      <c r="Z140" s="420">
        <f t="shared" si="23"/>
        <v>100</v>
      </c>
      <c r="AA140" s="214" t="s">
        <v>535</v>
      </c>
      <c r="AB140" s="398">
        <v>300</v>
      </c>
      <c r="AC140" s="398">
        <v>300</v>
      </c>
      <c r="AD140" s="398">
        <v>300</v>
      </c>
      <c r="AE140" s="214" t="s">
        <v>535</v>
      </c>
    </row>
    <row r="141" spans="1:31" ht="45">
      <c r="A141" s="111">
        <v>66037</v>
      </c>
      <c r="B141" s="210" t="s">
        <v>115</v>
      </c>
      <c r="C141" s="73"/>
      <c r="D141" s="204">
        <v>750</v>
      </c>
      <c r="E141" s="204">
        <v>777</v>
      </c>
      <c r="F141" s="204">
        <f t="shared" si="24"/>
        <v>-27</v>
      </c>
      <c r="G141" s="73"/>
      <c r="H141" s="204">
        <v>1350</v>
      </c>
      <c r="I141" s="204">
        <v>819</v>
      </c>
      <c r="J141" s="204">
        <f t="shared" si="20"/>
        <v>531</v>
      </c>
      <c r="K141" s="136"/>
      <c r="L141" s="204">
        <v>1350</v>
      </c>
      <c r="M141" s="204">
        <v>1270</v>
      </c>
      <c r="N141" s="204">
        <f t="shared" si="22"/>
        <v>80</v>
      </c>
      <c r="O141" s="217" t="s">
        <v>116</v>
      </c>
      <c r="P141" s="136"/>
      <c r="Q141" s="204">
        <v>1500</v>
      </c>
      <c r="R141" s="205">
        <v>399</v>
      </c>
      <c r="S141" s="283">
        <f t="shared" si="21"/>
        <v>-1101</v>
      </c>
      <c r="T141" s="207"/>
      <c r="U141" s="292">
        <v>1500</v>
      </c>
      <c r="V141" s="292">
        <v>373</v>
      </c>
      <c r="W141" s="209"/>
      <c r="X141" s="398">
        <v>1000</v>
      </c>
      <c r="Y141" s="420">
        <v>79</v>
      </c>
      <c r="Z141" s="420">
        <f t="shared" si="23"/>
        <v>921</v>
      </c>
      <c r="AA141" s="208"/>
      <c r="AB141" s="398">
        <v>1000</v>
      </c>
      <c r="AC141" s="398">
        <v>1000</v>
      </c>
      <c r="AD141" s="398">
        <v>1000</v>
      </c>
      <c r="AE141" s="326"/>
    </row>
    <row r="142" spans="1:31">
      <c r="A142" s="69"/>
      <c r="B142" s="218" t="s">
        <v>11</v>
      </c>
      <c r="C142" s="71"/>
      <c r="D142" s="219">
        <f>SUM(D116:D141)</f>
        <v>160850</v>
      </c>
      <c r="E142" s="219">
        <f>SUM(E116:E141)</f>
        <v>149984</v>
      </c>
      <c r="F142" s="219">
        <f>D142-E142</f>
        <v>10866</v>
      </c>
      <c r="G142" s="73"/>
      <c r="H142" s="219">
        <f>SUM(H116:H141)</f>
        <v>161172</v>
      </c>
      <c r="I142" s="219">
        <f>SUM(I116:I141)</f>
        <v>120114</v>
      </c>
      <c r="J142" s="204">
        <f>H142-I142</f>
        <v>41058</v>
      </c>
      <c r="K142" s="73"/>
      <c r="L142" s="219">
        <f>SUM(L116:L141)</f>
        <v>161524</v>
      </c>
      <c r="M142" s="219">
        <f>SUM(M116:M141)</f>
        <v>169526</v>
      </c>
      <c r="N142" s="204">
        <f t="shared" si="22"/>
        <v>-8002</v>
      </c>
      <c r="O142" s="204"/>
      <c r="P142" s="73"/>
      <c r="Q142" s="219">
        <f>SUM(Q116:Q141)</f>
        <v>163392</v>
      </c>
      <c r="R142" s="206">
        <f>SUM(R116:R141)</f>
        <v>144221</v>
      </c>
      <c r="S142" s="283">
        <f t="shared" si="21"/>
        <v>-19171</v>
      </c>
      <c r="T142" s="207"/>
      <c r="U142" s="295">
        <f>SUM(U116:U141)</f>
        <v>138519</v>
      </c>
      <c r="V142" s="295">
        <f>SUM(V116:V141)</f>
        <v>140926</v>
      </c>
      <c r="W142" s="221"/>
      <c r="X142" s="396">
        <f>SUM(X116:X141)</f>
        <v>141843.07</v>
      </c>
      <c r="Y142" s="423">
        <f>SUM(Y116:Y141)</f>
        <v>144555</v>
      </c>
      <c r="Z142" s="423">
        <f>SUM(Z116:Z141)</f>
        <v>-2711.9300000000003</v>
      </c>
      <c r="AA142" s="220"/>
      <c r="AB142" s="396">
        <f>SUM(AB116:AB141)</f>
        <v>143690.07</v>
      </c>
      <c r="AC142" s="396">
        <f>SUM(AC116:AC141)</f>
        <v>143690.07</v>
      </c>
      <c r="AD142" s="396">
        <f>SUM(AD116:AD141)</f>
        <v>143690.07</v>
      </c>
      <c r="AE142" s="556"/>
    </row>
    <row r="143" spans="1:31" ht="15" thickBot="1">
      <c r="A143" s="69"/>
      <c r="B143" s="222"/>
      <c r="C143" s="223"/>
      <c r="D143" s="222"/>
      <c r="E143" s="224"/>
      <c r="F143" s="222"/>
      <c r="G143" s="83"/>
      <c r="H143" s="224"/>
      <c r="I143" s="224"/>
      <c r="J143" s="224"/>
      <c r="K143" s="83"/>
      <c r="L143" s="224"/>
      <c r="M143" s="224"/>
      <c r="N143" s="224"/>
      <c r="O143" s="224"/>
      <c r="P143" s="83"/>
      <c r="Q143" s="224"/>
      <c r="R143" s="225"/>
      <c r="S143" s="225"/>
      <c r="T143" s="226"/>
      <c r="U143" s="296"/>
      <c r="V143" s="296"/>
      <c r="W143" s="226"/>
      <c r="X143" s="398"/>
      <c r="Y143" s="424"/>
      <c r="Z143" s="424"/>
      <c r="AA143" s="105"/>
      <c r="AB143" s="398"/>
      <c r="AC143" s="398"/>
      <c r="AD143" s="398"/>
      <c r="AE143" s="549"/>
    </row>
    <row r="144" spans="1:31" s="235" customFormat="1" ht="17" thickTop="1" thickBot="1">
      <c r="A144" s="227"/>
      <c r="B144" s="228" t="s">
        <v>12</v>
      </c>
      <c r="C144" s="92"/>
      <c r="D144" s="229">
        <f>SUM(D29,D51,D113,D142)</f>
        <v>667349</v>
      </c>
      <c r="E144" s="229">
        <f>SUM(E29,E51,E113,E142)</f>
        <v>597185</v>
      </c>
      <c r="F144" s="279">
        <f>D144-E144</f>
        <v>70164</v>
      </c>
      <c r="G144" s="94"/>
      <c r="H144" s="229">
        <f>H29+H51+H113+H142</f>
        <v>668294.75</v>
      </c>
      <c r="I144" s="229">
        <f>I29+I51+I113+I142</f>
        <v>603652</v>
      </c>
      <c r="J144" s="279">
        <f>J29+J51+J113+J142</f>
        <v>64642.75</v>
      </c>
      <c r="K144" s="94"/>
      <c r="L144" s="229">
        <f>L29+L51+L113+L142</f>
        <v>682753</v>
      </c>
      <c r="M144" s="229">
        <f>M29+M51+M113+M142</f>
        <v>611438</v>
      </c>
      <c r="N144" s="279"/>
      <c r="O144" s="230"/>
      <c r="P144" s="94"/>
      <c r="Q144" s="229">
        <f>Q29+Q51+Q96+Q113+Q142</f>
        <v>888696</v>
      </c>
      <c r="R144" s="231">
        <f>R29+R51+R96+R113+R142</f>
        <v>544677.25</v>
      </c>
      <c r="S144" s="284"/>
      <c r="T144" s="232"/>
      <c r="U144" s="297">
        <f>U29+U51+U96+U113+U142</f>
        <v>703879.66999999993</v>
      </c>
      <c r="V144" s="297">
        <f>V29+V51+V96+V113+V142</f>
        <v>659572</v>
      </c>
      <c r="W144" s="233"/>
      <c r="X144" s="403">
        <f>X29+X51+X96+X113+X142</f>
        <v>616914.13</v>
      </c>
      <c r="Y144" s="425">
        <f>Y29+Y51+Y96+Y113+Y142</f>
        <v>569276.9</v>
      </c>
      <c r="Z144" s="425">
        <f>Z29+Z51+Z96+Z113+Z142</f>
        <v>47637.23</v>
      </c>
      <c r="AA144" s="234"/>
      <c r="AB144" s="403">
        <f>AB29+AB51+AB96+AB113+AB142</f>
        <v>602034.07000000007</v>
      </c>
      <c r="AC144" s="403">
        <f>AC29+AC51+AC96+AC113+AC142</f>
        <v>602034.07000000007</v>
      </c>
      <c r="AD144" s="403">
        <f>AD29+AD51+AD96+AD113+AD142</f>
        <v>602034.07000000007</v>
      </c>
      <c r="AE144" s="557"/>
    </row>
    <row r="145" spans="1:31" ht="15" thickTop="1">
      <c r="A145" s="69"/>
      <c r="B145" s="236"/>
      <c r="C145" s="237"/>
      <c r="D145" s="236"/>
      <c r="E145" s="101"/>
      <c r="F145" s="236"/>
      <c r="G145" s="102"/>
      <c r="H145" s="238"/>
      <c r="I145" s="238"/>
      <c r="J145" s="238"/>
      <c r="K145" s="102"/>
      <c r="L145" s="101"/>
      <c r="M145" s="101"/>
      <c r="N145" s="101"/>
      <c r="O145" s="101"/>
      <c r="P145" s="102"/>
      <c r="Q145" s="101"/>
      <c r="R145" s="239"/>
      <c r="S145" s="239"/>
      <c r="T145" s="104"/>
      <c r="U145" s="298"/>
      <c r="V145" s="298"/>
      <c r="W145" s="104"/>
      <c r="X145" s="398"/>
      <c r="Y145" s="405"/>
      <c r="Z145" s="405"/>
      <c r="AA145" s="105"/>
      <c r="AB145" s="398"/>
      <c r="AC145" s="398"/>
      <c r="AD145" s="398"/>
      <c r="AE145" s="549"/>
    </row>
    <row r="146" spans="1:31">
      <c r="A146" s="69"/>
      <c r="B146" s="240"/>
      <c r="C146" s="73"/>
      <c r="D146" s="107"/>
      <c r="E146" s="107"/>
      <c r="F146" s="240"/>
      <c r="G146" s="73"/>
      <c r="H146" s="107"/>
      <c r="I146" s="107"/>
      <c r="J146" s="107"/>
      <c r="K146" s="73"/>
      <c r="L146" s="107"/>
      <c r="M146" s="107"/>
      <c r="N146" s="107"/>
      <c r="O146" s="107"/>
      <c r="P146" s="73"/>
      <c r="Q146" s="107"/>
      <c r="R146" s="201"/>
      <c r="S146" s="201"/>
      <c r="T146" s="110"/>
      <c r="U146" s="178"/>
      <c r="V146" s="178"/>
      <c r="W146" s="110"/>
      <c r="X146" s="398"/>
      <c r="Y146" s="406"/>
      <c r="Z146" s="406"/>
      <c r="AA146" s="105"/>
      <c r="AB146" s="398"/>
      <c r="AC146" s="398"/>
      <c r="AD146" s="398"/>
      <c r="AE146" s="549"/>
    </row>
    <row r="147" spans="1:31">
      <c r="A147" s="69"/>
      <c r="B147" s="241" t="s">
        <v>117</v>
      </c>
      <c r="C147" s="242"/>
      <c r="D147" s="243"/>
      <c r="E147" s="243"/>
      <c r="F147" s="244"/>
      <c r="G147" s="243"/>
      <c r="H147" s="243"/>
      <c r="I147" s="243"/>
      <c r="J147" s="243"/>
      <c r="K147" s="243"/>
      <c r="L147" s="243"/>
      <c r="M147" s="243"/>
      <c r="N147" s="243"/>
      <c r="O147" s="243"/>
      <c r="P147" s="243"/>
      <c r="Q147" s="243"/>
      <c r="R147" s="243"/>
      <c r="S147" s="243"/>
      <c r="T147" s="245"/>
      <c r="U147" s="561"/>
      <c r="V147" s="561"/>
      <c r="W147" s="561"/>
      <c r="X147" s="426"/>
      <c r="Y147" s="426"/>
      <c r="Z147" s="426"/>
      <c r="AA147" s="246"/>
      <c r="AB147" s="426"/>
      <c r="AC147" s="426"/>
      <c r="AD147" s="426"/>
      <c r="AE147" s="246"/>
    </row>
    <row r="148" spans="1:31" ht="30">
      <c r="A148" s="111">
        <v>33274</v>
      </c>
      <c r="B148" s="247" t="s">
        <v>118</v>
      </c>
      <c r="C148" s="248"/>
      <c r="D148" s="243">
        <v>24000</v>
      </c>
      <c r="E148" s="243">
        <v>20899</v>
      </c>
      <c r="F148" s="322">
        <f t="shared" ref="F148:F158" si="25">D148-E148</f>
        <v>3101</v>
      </c>
      <c r="G148" s="243"/>
      <c r="H148" s="243">
        <v>15000</v>
      </c>
      <c r="I148" s="243">
        <v>11698</v>
      </c>
      <c r="J148" s="243">
        <f t="shared" ref="J148:J160" si="26">H148-I148</f>
        <v>3302</v>
      </c>
      <c r="K148" s="243"/>
      <c r="L148" s="243">
        <v>18000</v>
      </c>
      <c r="M148" s="243">
        <v>18206</v>
      </c>
      <c r="N148" s="243">
        <f>L148-M148</f>
        <v>-206</v>
      </c>
      <c r="O148" s="249" t="s">
        <v>119</v>
      </c>
      <c r="P148" s="250"/>
      <c r="Q148" s="243">
        <v>18000</v>
      </c>
      <c r="R148" s="251">
        <v>18447</v>
      </c>
      <c r="S148" s="251"/>
      <c r="T148" s="253" t="s">
        <v>119</v>
      </c>
      <c r="U148" s="290">
        <v>30000</v>
      </c>
      <c r="V148" s="290">
        <v>31308</v>
      </c>
      <c r="W148" s="254" t="s">
        <v>416</v>
      </c>
      <c r="X148" s="398">
        <v>37200</v>
      </c>
      <c r="Y148" s="410">
        <v>0</v>
      </c>
      <c r="Z148" s="410">
        <f>X148-Y148</f>
        <v>37200</v>
      </c>
      <c r="AA148" s="254" t="s">
        <v>448</v>
      </c>
      <c r="AB148" s="398">
        <v>80000</v>
      </c>
      <c r="AC148" s="398">
        <v>80000</v>
      </c>
      <c r="AD148" s="398">
        <v>80000</v>
      </c>
      <c r="AE148" s="254" t="s">
        <v>666</v>
      </c>
    </row>
    <row r="149" spans="1:31" ht="30">
      <c r="A149" s="111">
        <v>33278</v>
      </c>
      <c r="B149" s="247" t="s">
        <v>120</v>
      </c>
      <c r="C149" s="248"/>
      <c r="D149" s="243">
        <v>2000</v>
      </c>
      <c r="E149" s="243">
        <v>1394</v>
      </c>
      <c r="F149" s="322">
        <f t="shared" si="25"/>
        <v>606</v>
      </c>
      <c r="G149" s="248"/>
      <c r="H149" s="243">
        <v>1125</v>
      </c>
      <c r="I149" s="243">
        <v>959</v>
      </c>
      <c r="J149" s="243">
        <f t="shared" si="26"/>
        <v>166</v>
      </c>
      <c r="K149" s="248"/>
      <c r="L149" s="243">
        <v>1500</v>
      </c>
      <c r="M149" s="243">
        <v>1385</v>
      </c>
      <c r="N149" s="243">
        <f t="shared" ref="N149:N160" si="27">L149-M149</f>
        <v>115</v>
      </c>
      <c r="O149" s="255" t="s">
        <v>121</v>
      </c>
      <c r="P149" s="248"/>
      <c r="Q149" s="243">
        <v>1500</v>
      </c>
      <c r="R149" s="251">
        <v>738</v>
      </c>
      <c r="S149" s="251"/>
      <c r="T149" s="253" t="s">
        <v>205</v>
      </c>
      <c r="U149" s="290">
        <v>2500</v>
      </c>
      <c r="V149" s="290">
        <v>1401</v>
      </c>
      <c r="W149" s="254" t="s">
        <v>417</v>
      </c>
      <c r="X149" s="398">
        <v>3000</v>
      </c>
      <c r="Y149" s="410">
        <v>0</v>
      </c>
      <c r="Z149" s="410">
        <f t="shared" ref="Z149:Z158" si="28">X149-Y149</f>
        <v>3000</v>
      </c>
      <c r="AA149" s="132" t="s">
        <v>447</v>
      </c>
      <c r="AB149" s="398">
        <v>5000</v>
      </c>
      <c r="AC149" s="398">
        <v>5000</v>
      </c>
      <c r="AD149" s="398">
        <v>5000</v>
      </c>
      <c r="AE149" s="254" t="s">
        <v>665</v>
      </c>
    </row>
    <row r="150" spans="1:31" ht="30">
      <c r="A150" s="111">
        <v>3</v>
      </c>
      <c r="B150" s="247" t="s">
        <v>122</v>
      </c>
      <c r="C150" s="248"/>
      <c r="D150" s="243">
        <v>44000</v>
      </c>
      <c r="E150" s="243">
        <v>23311</v>
      </c>
      <c r="F150" s="322">
        <f t="shared" si="25"/>
        <v>20689</v>
      </c>
      <c r="G150" s="248"/>
      <c r="H150" s="243">
        <v>22000</v>
      </c>
      <c r="I150" s="243">
        <v>24905</v>
      </c>
      <c r="J150" s="243">
        <f t="shared" si="26"/>
        <v>-2905</v>
      </c>
      <c r="K150" s="248"/>
      <c r="L150" s="243">
        <v>39000</v>
      </c>
      <c r="M150" s="243">
        <v>23350</v>
      </c>
      <c r="N150" s="243">
        <f t="shared" si="27"/>
        <v>15650</v>
      </c>
      <c r="O150" s="249" t="s">
        <v>123</v>
      </c>
      <c r="P150" s="256"/>
      <c r="Q150" s="243">
        <v>14000</v>
      </c>
      <c r="R150" s="251">
        <v>0</v>
      </c>
      <c r="S150" s="251"/>
      <c r="T150" s="253" t="s">
        <v>206</v>
      </c>
      <c r="U150" s="290">
        <v>30000</v>
      </c>
      <c r="V150" s="290">
        <v>14287</v>
      </c>
      <c r="W150" s="257" t="s">
        <v>418</v>
      </c>
      <c r="X150" s="398">
        <v>30000</v>
      </c>
      <c r="Y150" s="410">
        <v>0</v>
      </c>
      <c r="Z150" s="410">
        <f t="shared" si="28"/>
        <v>30000</v>
      </c>
      <c r="AA150" s="132" t="s">
        <v>444</v>
      </c>
      <c r="AB150" s="426">
        <v>0</v>
      </c>
      <c r="AC150" s="426">
        <v>0</v>
      </c>
      <c r="AD150" s="426">
        <v>0</v>
      </c>
      <c r="AE150" s="254" t="s">
        <v>667</v>
      </c>
    </row>
    <row r="151" spans="1:31" ht="15">
      <c r="A151" s="111">
        <v>33275</v>
      </c>
      <c r="B151" s="247" t="s">
        <v>124</v>
      </c>
      <c r="C151" s="248"/>
      <c r="D151" s="243">
        <v>2000</v>
      </c>
      <c r="E151" s="243">
        <v>556</v>
      </c>
      <c r="F151" s="322">
        <f t="shared" si="25"/>
        <v>1444</v>
      </c>
      <c r="G151" s="248"/>
      <c r="H151" s="243">
        <v>1680</v>
      </c>
      <c r="I151" s="243">
        <v>2226</v>
      </c>
      <c r="J151" s="243">
        <f t="shared" si="26"/>
        <v>-546</v>
      </c>
      <c r="K151" s="258"/>
      <c r="L151" s="243">
        <v>2300</v>
      </c>
      <c r="M151" s="243">
        <v>1243</v>
      </c>
      <c r="N151" s="243">
        <f t="shared" si="27"/>
        <v>1057</v>
      </c>
      <c r="O151" s="255" t="s">
        <v>125</v>
      </c>
      <c r="P151" s="248"/>
      <c r="Q151" s="243">
        <v>1200</v>
      </c>
      <c r="R151" s="251">
        <v>777</v>
      </c>
      <c r="S151" s="251"/>
      <c r="T151" s="259" t="s">
        <v>126</v>
      </c>
      <c r="U151" s="290">
        <v>1000</v>
      </c>
      <c r="V151" s="290">
        <v>382</v>
      </c>
      <c r="W151" s="133" t="s">
        <v>419</v>
      </c>
      <c r="X151" s="398">
        <v>1000</v>
      </c>
      <c r="Y151" s="410">
        <v>770</v>
      </c>
      <c r="Z151" s="410">
        <f t="shared" si="28"/>
        <v>230</v>
      </c>
      <c r="AA151" s="132" t="s">
        <v>419</v>
      </c>
      <c r="AB151" s="398">
        <v>1000</v>
      </c>
      <c r="AC151" s="398">
        <v>1000</v>
      </c>
      <c r="AD151" s="398">
        <v>1000</v>
      </c>
      <c r="AE151" s="254" t="s">
        <v>419</v>
      </c>
    </row>
    <row r="152" spans="1:31" ht="30">
      <c r="A152" s="111">
        <v>33272</v>
      </c>
      <c r="B152" s="247" t="s">
        <v>127</v>
      </c>
      <c r="C152" s="248"/>
      <c r="D152" s="243">
        <v>1200</v>
      </c>
      <c r="E152" s="243">
        <v>0</v>
      </c>
      <c r="F152" s="322">
        <f t="shared" si="25"/>
        <v>1200</v>
      </c>
      <c r="G152" s="248"/>
      <c r="H152" s="243">
        <v>1200</v>
      </c>
      <c r="I152" s="243">
        <v>2639</v>
      </c>
      <c r="J152" s="243">
        <f t="shared" si="26"/>
        <v>-1439</v>
      </c>
      <c r="K152" s="248"/>
      <c r="L152" s="243">
        <v>2640</v>
      </c>
      <c r="M152" s="243">
        <v>0</v>
      </c>
      <c r="N152" s="243">
        <f t="shared" si="27"/>
        <v>2640</v>
      </c>
      <c r="O152" s="249" t="s">
        <v>128</v>
      </c>
      <c r="P152" s="256"/>
      <c r="Q152" s="243">
        <v>2700</v>
      </c>
      <c r="R152" s="251">
        <v>0</v>
      </c>
      <c r="S152" s="251"/>
      <c r="T152" s="259" t="s">
        <v>129</v>
      </c>
      <c r="U152" s="290">
        <v>1800</v>
      </c>
      <c r="V152" s="290">
        <v>1852</v>
      </c>
      <c r="W152" s="257" t="s">
        <v>529</v>
      </c>
      <c r="X152" s="398">
        <v>2000</v>
      </c>
      <c r="Y152" s="410">
        <v>775</v>
      </c>
      <c r="Z152" s="410">
        <f t="shared" si="28"/>
        <v>1225</v>
      </c>
      <c r="AA152" s="132" t="s">
        <v>442</v>
      </c>
      <c r="AB152" s="398">
        <v>2000</v>
      </c>
      <c r="AC152" s="398">
        <v>2000</v>
      </c>
      <c r="AD152" s="398">
        <v>2000</v>
      </c>
      <c r="AE152" s="254" t="s">
        <v>442</v>
      </c>
    </row>
    <row r="153" spans="1:31" ht="15">
      <c r="A153" s="111">
        <v>33272</v>
      </c>
      <c r="B153" s="247" t="s">
        <v>130</v>
      </c>
      <c r="C153" s="248"/>
      <c r="D153" s="243">
        <v>1400</v>
      </c>
      <c r="E153" s="243">
        <v>0</v>
      </c>
      <c r="F153" s="322">
        <f t="shared" si="25"/>
        <v>1400</v>
      </c>
      <c r="G153" s="248"/>
      <c r="H153" s="243">
        <v>1400</v>
      </c>
      <c r="I153" s="243">
        <v>1245</v>
      </c>
      <c r="J153" s="243">
        <f t="shared" si="26"/>
        <v>155</v>
      </c>
      <c r="K153" s="248"/>
      <c r="L153" s="243">
        <v>1400</v>
      </c>
      <c r="M153" s="243">
        <v>1042</v>
      </c>
      <c r="N153" s="243">
        <f t="shared" si="27"/>
        <v>358</v>
      </c>
      <c r="O153" s="255" t="s">
        <v>131</v>
      </c>
      <c r="P153" s="248"/>
      <c r="Q153" s="243">
        <v>1800</v>
      </c>
      <c r="R153" s="251">
        <v>2884</v>
      </c>
      <c r="S153" s="251"/>
      <c r="T153" s="259" t="s">
        <v>132</v>
      </c>
      <c r="U153" s="290">
        <v>1800</v>
      </c>
      <c r="V153" s="290">
        <v>1000</v>
      </c>
      <c r="W153" s="133" t="s">
        <v>420</v>
      </c>
      <c r="X153" s="398">
        <v>2000</v>
      </c>
      <c r="Y153" s="410">
        <v>2490</v>
      </c>
      <c r="Z153" s="410">
        <f t="shared" si="28"/>
        <v>-490</v>
      </c>
      <c r="AA153" s="132" t="s">
        <v>442</v>
      </c>
      <c r="AB153" s="398">
        <v>2400</v>
      </c>
      <c r="AC153" s="398">
        <v>2400</v>
      </c>
      <c r="AD153" s="398">
        <v>2400</v>
      </c>
      <c r="AE153" s="254" t="s">
        <v>664</v>
      </c>
    </row>
    <row r="154" spans="1:31" ht="30">
      <c r="A154" s="111">
        <v>33290</v>
      </c>
      <c r="B154" s="260" t="s">
        <v>133</v>
      </c>
      <c r="C154" s="248"/>
      <c r="D154" s="243">
        <v>15000</v>
      </c>
      <c r="E154" s="243">
        <v>4229</v>
      </c>
      <c r="F154" s="322">
        <f t="shared" si="25"/>
        <v>10771</v>
      </c>
      <c r="G154" s="248"/>
      <c r="H154" s="243">
        <v>4500</v>
      </c>
      <c r="I154" s="243">
        <v>0</v>
      </c>
      <c r="J154" s="243">
        <f t="shared" si="26"/>
        <v>4500</v>
      </c>
      <c r="K154" s="248"/>
      <c r="L154" s="243">
        <v>4000</v>
      </c>
      <c r="M154" s="243">
        <v>0</v>
      </c>
      <c r="N154" s="243">
        <f t="shared" si="27"/>
        <v>4000</v>
      </c>
      <c r="O154" s="255" t="s">
        <v>134</v>
      </c>
      <c r="P154" s="248"/>
      <c r="Q154" s="243">
        <v>20000</v>
      </c>
      <c r="R154" s="251">
        <v>0</v>
      </c>
      <c r="S154" s="251"/>
      <c r="T154" s="253" t="s">
        <v>207</v>
      </c>
      <c r="U154" s="290">
        <v>1000</v>
      </c>
      <c r="V154" s="290">
        <v>0</v>
      </c>
      <c r="W154" s="133" t="s">
        <v>421</v>
      </c>
      <c r="X154" s="398">
        <v>0</v>
      </c>
      <c r="Y154" s="410">
        <v>0</v>
      </c>
      <c r="Z154" s="410">
        <f t="shared" si="28"/>
        <v>0</v>
      </c>
      <c r="AA154" s="132"/>
      <c r="AB154" s="398">
        <v>0</v>
      </c>
      <c r="AC154" s="398">
        <v>0</v>
      </c>
      <c r="AD154" s="398">
        <v>0</v>
      </c>
      <c r="AE154" s="254"/>
    </row>
    <row r="155" spans="1:31" ht="15">
      <c r="A155" s="111">
        <v>33277</v>
      </c>
      <c r="B155" s="260" t="s">
        <v>432</v>
      </c>
      <c r="C155" s="248"/>
      <c r="D155" s="243">
        <v>2300</v>
      </c>
      <c r="E155" s="243">
        <v>3499</v>
      </c>
      <c r="F155" s="322">
        <f t="shared" si="25"/>
        <v>-1199</v>
      </c>
      <c r="G155" s="248"/>
      <c r="H155" s="243">
        <v>3500</v>
      </c>
      <c r="I155" s="243">
        <v>0</v>
      </c>
      <c r="J155" s="243">
        <f t="shared" si="26"/>
        <v>3500</v>
      </c>
      <c r="K155" s="248"/>
      <c r="L155" s="243">
        <v>3500</v>
      </c>
      <c r="M155" s="243">
        <v>2595</v>
      </c>
      <c r="N155" s="243">
        <f t="shared" si="27"/>
        <v>905</v>
      </c>
      <c r="O155" s="249" t="s">
        <v>135</v>
      </c>
      <c r="P155" s="256"/>
      <c r="Q155" s="243">
        <v>2000</v>
      </c>
      <c r="R155" s="251">
        <v>0</v>
      </c>
      <c r="S155" s="251"/>
      <c r="T155" s="259" t="s">
        <v>136</v>
      </c>
      <c r="U155" s="290">
        <v>1500</v>
      </c>
      <c r="V155" s="290">
        <v>1688</v>
      </c>
      <c r="W155" s="133" t="s">
        <v>422</v>
      </c>
      <c r="X155" s="398">
        <v>2000</v>
      </c>
      <c r="Y155" s="410">
        <v>0</v>
      </c>
      <c r="Z155" s="410">
        <f t="shared" si="28"/>
        <v>2000</v>
      </c>
      <c r="AA155" s="132" t="s">
        <v>443</v>
      </c>
      <c r="AB155" s="398">
        <v>2000</v>
      </c>
      <c r="AC155" s="398">
        <v>2000</v>
      </c>
      <c r="AD155" s="398">
        <v>2000</v>
      </c>
      <c r="AE155" s="254" t="s">
        <v>443</v>
      </c>
    </row>
    <row r="156" spans="1:31" ht="45">
      <c r="A156" s="111">
        <v>33284</v>
      </c>
      <c r="B156" s="247" t="s">
        <v>137</v>
      </c>
      <c r="C156" s="248"/>
      <c r="D156" s="243">
        <v>7500</v>
      </c>
      <c r="E156" s="243">
        <v>4149</v>
      </c>
      <c r="F156" s="322">
        <f t="shared" si="25"/>
        <v>3351</v>
      </c>
      <c r="G156" s="248"/>
      <c r="H156" s="243">
        <v>4173.75</v>
      </c>
      <c r="I156" s="243">
        <v>7873</v>
      </c>
      <c r="J156" s="243">
        <f t="shared" si="26"/>
        <v>-3699.25</v>
      </c>
      <c r="K156" s="256"/>
      <c r="L156" s="250">
        <v>25381.65</v>
      </c>
      <c r="M156" s="243">
        <v>3668</v>
      </c>
      <c r="N156" s="243">
        <f t="shared" si="27"/>
        <v>21713.65</v>
      </c>
      <c r="O156" s="249" t="s">
        <v>204</v>
      </c>
      <c r="P156" s="256"/>
      <c r="Q156" s="250">
        <v>6000</v>
      </c>
      <c r="R156" s="261">
        <v>3674</v>
      </c>
      <c r="S156" s="261"/>
      <c r="T156" s="259" t="s">
        <v>138</v>
      </c>
      <c r="U156" s="290">
        <v>46800</v>
      </c>
      <c r="V156" s="290">
        <v>7538</v>
      </c>
      <c r="W156" s="133" t="s">
        <v>423</v>
      </c>
      <c r="X156" s="398">
        <v>0</v>
      </c>
      <c r="Y156" s="410">
        <v>8313</v>
      </c>
      <c r="Z156" s="410">
        <f t="shared" si="28"/>
        <v>-8313</v>
      </c>
      <c r="AA156" s="254" t="s">
        <v>441</v>
      </c>
      <c r="AB156" s="398">
        <v>12000</v>
      </c>
      <c r="AC156" s="398">
        <v>12000</v>
      </c>
      <c r="AD156" s="398">
        <v>12000</v>
      </c>
      <c r="AE156" s="254" t="s">
        <v>668</v>
      </c>
    </row>
    <row r="157" spans="1:31" ht="30">
      <c r="A157" s="69"/>
      <c r="B157" s="247" t="s">
        <v>139</v>
      </c>
      <c r="C157" s="248"/>
      <c r="D157" s="243">
        <v>37400</v>
      </c>
      <c r="E157" s="243">
        <v>0</v>
      </c>
      <c r="F157" s="322">
        <f t="shared" si="25"/>
        <v>37400</v>
      </c>
      <c r="G157" s="248"/>
      <c r="H157" s="243">
        <v>0</v>
      </c>
      <c r="I157" s="243">
        <v>0</v>
      </c>
      <c r="J157" s="243">
        <f t="shared" si="26"/>
        <v>0</v>
      </c>
      <c r="K157" s="256"/>
      <c r="L157" s="243">
        <v>10000</v>
      </c>
      <c r="M157" s="243">
        <v>0</v>
      </c>
      <c r="N157" s="243">
        <f t="shared" si="27"/>
        <v>10000</v>
      </c>
      <c r="O157" s="249" t="s">
        <v>140</v>
      </c>
      <c r="P157" s="256"/>
      <c r="Q157" s="243">
        <v>12000</v>
      </c>
      <c r="R157" s="251">
        <v>0</v>
      </c>
      <c r="S157" s="251"/>
      <c r="T157" s="133"/>
      <c r="U157" s="290">
        <v>0</v>
      </c>
      <c r="V157" s="290">
        <v>0</v>
      </c>
      <c r="W157" s="133"/>
      <c r="X157" s="398">
        <v>10000</v>
      </c>
      <c r="Y157" s="410">
        <v>0</v>
      </c>
      <c r="Z157" s="410">
        <f t="shared" si="28"/>
        <v>10000</v>
      </c>
      <c r="AA157" s="132" t="s">
        <v>446</v>
      </c>
      <c r="AB157" s="398">
        <v>10000</v>
      </c>
      <c r="AC157" s="398">
        <v>10000</v>
      </c>
      <c r="AD157" s="398">
        <v>10000</v>
      </c>
      <c r="AE157" s="254" t="s">
        <v>669</v>
      </c>
    </row>
    <row r="158" spans="1:31" ht="60">
      <c r="A158" s="111">
        <v>33271</v>
      </c>
      <c r="B158" s="247" t="s">
        <v>141</v>
      </c>
      <c r="C158" s="248"/>
      <c r="D158" s="243">
        <v>40000</v>
      </c>
      <c r="E158" s="243">
        <v>26405</v>
      </c>
      <c r="F158" s="322">
        <f t="shared" si="25"/>
        <v>13595</v>
      </c>
      <c r="G158" s="248"/>
      <c r="H158" s="243">
        <v>21000</v>
      </c>
      <c r="I158" s="243">
        <v>13016</v>
      </c>
      <c r="J158" s="243">
        <f t="shared" si="26"/>
        <v>7984</v>
      </c>
      <c r="K158" s="256"/>
      <c r="L158" s="243">
        <v>27000</v>
      </c>
      <c r="M158" s="243">
        <v>20830</v>
      </c>
      <c r="N158" s="243">
        <f t="shared" si="27"/>
        <v>6170</v>
      </c>
      <c r="O158" s="255" t="s">
        <v>142</v>
      </c>
      <c r="P158" s="248"/>
      <c r="Q158" s="243">
        <v>27000</v>
      </c>
      <c r="R158" s="251">
        <v>16492</v>
      </c>
      <c r="S158" s="251"/>
      <c r="T158" s="253" t="s">
        <v>386</v>
      </c>
      <c r="U158" s="290">
        <v>18000</v>
      </c>
      <c r="V158" s="290">
        <v>17207</v>
      </c>
      <c r="W158" s="254" t="s">
        <v>424</v>
      </c>
      <c r="X158" s="398">
        <v>31000</v>
      </c>
      <c r="Y158" s="410">
        <v>9418</v>
      </c>
      <c r="Z158" s="410">
        <f t="shared" si="28"/>
        <v>21582</v>
      </c>
      <c r="AA158" s="254" t="s">
        <v>445</v>
      </c>
      <c r="AB158" s="398">
        <v>48000</v>
      </c>
      <c r="AC158" s="398">
        <v>48000</v>
      </c>
      <c r="AD158" s="398">
        <v>48000</v>
      </c>
      <c r="AE158" s="254" t="s">
        <v>670</v>
      </c>
    </row>
    <row r="159" spans="1:31" ht="30">
      <c r="A159" s="69"/>
      <c r="B159" s="260" t="s">
        <v>431</v>
      </c>
      <c r="C159" s="248"/>
      <c r="D159" s="243"/>
      <c r="E159" s="243"/>
      <c r="F159" s="322"/>
      <c r="G159" s="248"/>
      <c r="H159" s="243"/>
      <c r="I159" s="243"/>
      <c r="J159" s="243">
        <f t="shared" si="26"/>
        <v>0</v>
      </c>
      <c r="K159" s="256"/>
      <c r="L159" s="243">
        <v>10000</v>
      </c>
      <c r="M159" s="243">
        <v>-6215</v>
      </c>
      <c r="N159" s="243">
        <f t="shared" si="27"/>
        <v>16215</v>
      </c>
      <c r="O159" s="243"/>
      <c r="P159" s="248"/>
      <c r="Q159" s="243"/>
      <c r="R159" s="251"/>
      <c r="S159" s="251"/>
      <c r="T159" s="133"/>
      <c r="U159" s="290"/>
      <c r="V159" s="290"/>
      <c r="W159" s="133"/>
      <c r="X159" s="398"/>
      <c r="Y159" s="410"/>
      <c r="Z159" s="410"/>
      <c r="AA159" s="132"/>
      <c r="AB159" s="398"/>
      <c r="AC159" s="398"/>
      <c r="AD159" s="398"/>
      <c r="AE159" s="254"/>
    </row>
    <row r="160" spans="1:31">
      <c r="A160" s="69"/>
      <c r="B160" s="262" t="s">
        <v>143</v>
      </c>
      <c r="C160" s="242"/>
      <c r="D160" s="244">
        <v>176800</v>
      </c>
      <c r="E160" s="244">
        <f>SUM(E148:E158)</f>
        <v>84442</v>
      </c>
      <c r="F160" s="323">
        <f>D160-E160</f>
        <v>92358</v>
      </c>
      <c r="G160" s="248"/>
      <c r="H160" s="244">
        <f>SUM(H148:H158)</f>
        <v>75578.75</v>
      </c>
      <c r="I160" s="244">
        <f>SUM(I148:I158)</f>
        <v>64561</v>
      </c>
      <c r="J160" s="244">
        <f t="shared" si="26"/>
        <v>11017.75</v>
      </c>
      <c r="K160" s="248"/>
      <c r="L160" s="244">
        <f>SUM(L148:L159)</f>
        <v>144721.65</v>
      </c>
      <c r="M160" s="244">
        <f>SUM(M148:M159)</f>
        <v>66104</v>
      </c>
      <c r="N160" s="243">
        <f t="shared" si="27"/>
        <v>78617.649999999994</v>
      </c>
      <c r="O160" s="243"/>
      <c r="P160" s="248"/>
      <c r="Q160" s="244">
        <f>SUM(Q148:Q159)</f>
        <v>106200</v>
      </c>
      <c r="R160" s="252">
        <f>SUM(R148:R159)</f>
        <v>43012</v>
      </c>
      <c r="S160" s="252"/>
      <c r="T160" s="133"/>
      <c r="U160" s="291">
        <f>SUM(U148:U159)</f>
        <v>134400</v>
      </c>
      <c r="V160" s="291">
        <f>SUM(V148:V159)</f>
        <v>76663</v>
      </c>
      <c r="W160" s="150"/>
      <c r="X160" s="396">
        <f>SUM(X148:X158)</f>
        <v>118200</v>
      </c>
      <c r="Y160" s="411">
        <f>SUM(Y148:Y159)</f>
        <v>21766</v>
      </c>
      <c r="Z160" s="411">
        <f>SUM(Z148:Z159)</f>
        <v>96434</v>
      </c>
      <c r="AA160" s="149"/>
      <c r="AB160" s="396">
        <f>SUM(AB148:AB158)</f>
        <v>162400</v>
      </c>
      <c r="AC160" s="396">
        <f>SUM(AC148:AC158)</f>
        <v>162400</v>
      </c>
      <c r="AD160" s="396">
        <f>SUM(AD148:AD158)</f>
        <v>162400</v>
      </c>
      <c r="AE160" s="558"/>
    </row>
    <row r="161" spans="1:31" s="179" customFormat="1">
      <c r="A161" s="175"/>
      <c r="B161" s="320"/>
      <c r="C161" s="152"/>
      <c r="D161" s="152"/>
      <c r="E161" s="152"/>
      <c r="F161" s="324"/>
      <c r="G161" s="153"/>
      <c r="H161" s="152"/>
      <c r="I161" s="152"/>
      <c r="J161" s="152"/>
      <c r="K161" s="153"/>
      <c r="L161" s="152"/>
      <c r="M161" s="152"/>
      <c r="N161" s="153"/>
      <c r="O161" s="153"/>
      <c r="P161" s="153"/>
      <c r="Q161" s="152"/>
      <c r="R161" s="109"/>
      <c r="S161" s="109"/>
      <c r="T161" s="154"/>
      <c r="U161" s="155"/>
      <c r="V161" s="155"/>
      <c r="W161" s="156"/>
      <c r="X161" s="412"/>
      <c r="Y161" s="412"/>
      <c r="Z161" s="412"/>
      <c r="AA161" s="155"/>
      <c r="AB161" s="412"/>
      <c r="AC161" s="412"/>
      <c r="AD161" s="412"/>
      <c r="AE161" s="552"/>
    </row>
    <row r="162" spans="1:31">
      <c r="A162" s="69"/>
      <c r="B162" s="107"/>
      <c r="C162" s="73"/>
      <c r="D162" s="107"/>
      <c r="E162" s="107"/>
      <c r="F162" s="107"/>
      <c r="G162" s="73"/>
      <c r="H162" s="107"/>
      <c r="I162" s="107"/>
      <c r="J162" s="107"/>
      <c r="K162" s="73"/>
      <c r="L162" s="107"/>
      <c r="M162" s="107"/>
      <c r="N162" s="107"/>
      <c r="O162" s="107"/>
      <c r="P162" s="248"/>
      <c r="Q162" s="107"/>
      <c r="R162" s="201"/>
      <c r="S162" s="201"/>
      <c r="T162" s="110"/>
      <c r="U162" s="178"/>
      <c r="V162" s="178"/>
      <c r="W162" s="110"/>
      <c r="X162" s="398"/>
      <c r="Y162" s="406"/>
      <c r="Z162" s="406"/>
      <c r="AA162" s="105"/>
      <c r="AB162" s="398"/>
      <c r="AC162" s="398"/>
      <c r="AD162" s="398"/>
      <c r="AE162" s="549"/>
    </row>
    <row r="163" spans="1:31" s="270" customFormat="1" ht="15">
      <c r="A163" s="263"/>
      <c r="B163" s="264" t="s">
        <v>436</v>
      </c>
      <c r="C163" s="265"/>
      <c r="D163" s="266">
        <f>D12</f>
        <v>729860.42</v>
      </c>
      <c r="E163" s="266">
        <f>E12</f>
        <v>727822</v>
      </c>
      <c r="F163" s="240">
        <f>F12</f>
        <v>2038.4200000000419</v>
      </c>
      <c r="G163" s="265"/>
      <c r="H163" s="266">
        <f>H12</f>
        <v>740604.57</v>
      </c>
      <c r="I163" s="266">
        <f>I12</f>
        <v>746944</v>
      </c>
      <c r="J163" s="240">
        <f>H163-I163</f>
        <v>-6339.4300000000512</v>
      </c>
      <c r="K163" s="265"/>
      <c r="L163" s="266">
        <f>L12</f>
        <v>755144.98139999993</v>
      </c>
      <c r="M163" s="266">
        <f>M12</f>
        <v>744987</v>
      </c>
      <c r="N163" s="240">
        <f>L163-M163</f>
        <v>10157.981399999931</v>
      </c>
      <c r="O163" s="266"/>
      <c r="P163" s="265"/>
      <c r="Q163" s="266">
        <f>Q12</f>
        <v>777692</v>
      </c>
      <c r="R163" s="267">
        <f>R12</f>
        <v>785447</v>
      </c>
      <c r="S163" s="202"/>
      <c r="T163" s="268"/>
      <c r="U163" s="287">
        <f>U12</f>
        <v>752768.08</v>
      </c>
      <c r="V163" s="287">
        <f>V12</f>
        <v>775271</v>
      </c>
      <c r="W163" s="268"/>
      <c r="X163" s="427">
        <f>X12</f>
        <v>786933.52319999994</v>
      </c>
      <c r="Y163" s="428">
        <f>Y12</f>
        <v>809248</v>
      </c>
      <c r="Z163" s="428">
        <f>Z12</f>
        <v>22314.476800000062</v>
      </c>
      <c r="AA163" s="269"/>
      <c r="AB163" s="427">
        <f>AB12</f>
        <v>776433.52319999994</v>
      </c>
      <c r="AC163" s="427">
        <f>AC12</f>
        <v>791702.51366399997</v>
      </c>
      <c r="AD163" s="427">
        <f>AD12</f>
        <v>814605.9993599999</v>
      </c>
      <c r="AE163" s="559"/>
    </row>
    <row r="164" spans="1:31" s="270" customFormat="1" ht="16">
      <c r="A164" s="263"/>
      <c r="B164" s="271" t="s">
        <v>457</v>
      </c>
      <c r="C164" s="265"/>
      <c r="D164" s="266">
        <f>D144</f>
        <v>667349</v>
      </c>
      <c r="E164" s="266">
        <f>E144</f>
        <v>597185</v>
      </c>
      <c r="F164" s="240">
        <f>F144</f>
        <v>70164</v>
      </c>
      <c r="G164" s="265"/>
      <c r="H164" s="266">
        <f>H144</f>
        <v>668294.75</v>
      </c>
      <c r="I164" s="266">
        <f>I144</f>
        <v>603652</v>
      </c>
      <c r="J164" s="240">
        <f>H164-I164</f>
        <v>64642.75</v>
      </c>
      <c r="K164" s="265"/>
      <c r="L164" s="266">
        <f>L144</f>
        <v>682753</v>
      </c>
      <c r="M164" s="266">
        <f>M144</f>
        <v>611438</v>
      </c>
      <c r="N164" s="240">
        <f>L164-M164</f>
        <v>71315</v>
      </c>
      <c r="O164" s="266"/>
      <c r="P164" s="265"/>
      <c r="Q164" s="266">
        <f>Q144</f>
        <v>888696</v>
      </c>
      <c r="R164" s="267">
        <f>+R144</f>
        <v>544677.25</v>
      </c>
      <c r="S164" s="202"/>
      <c r="T164" s="268"/>
      <c r="U164" s="287">
        <f>U144</f>
        <v>703879.66999999993</v>
      </c>
      <c r="V164" s="287">
        <f>V144</f>
        <v>659572</v>
      </c>
      <c r="W164" s="268"/>
      <c r="X164" s="427">
        <f>X144</f>
        <v>616914.13</v>
      </c>
      <c r="Y164" s="428">
        <f>Y144</f>
        <v>569276.9</v>
      </c>
      <c r="Z164" s="428">
        <f>Z144</f>
        <v>47637.23</v>
      </c>
      <c r="AA164" s="269"/>
      <c r="AB164" s="427">
        <f>AB144</f>
        <v>602034.07000000007</v>
      </c>
      <c r="AC164" s="427">
        <f>AC144</f>
        <v>602034.07000000007</v>
      </c>
      <c r="AD164" s="427">
        <f>AD144</f>
        <v>602034.07000000007</v>
      </c>
      <c r="AE164" s="559"/>
    </row>
    <row r="165" spans="1:31" s="270" customFormat="1" ht="16">
      <c r="A165" s="263"/>
      <c r="B165" s="264" t="s">
        <v>428</v>
      </c>
      <c r="C165" s="265"/>
      <c r="D165" s="266">
        <f>D163-D164</f>
        <v>62511.420000000042</v>
      </c>
      <c r="E165" s="266">
        <f>E163-E164</f>
        <v>130637</v>
      </c>
      <c r="F165" s="240">
        <f>F163-F164</f>
        <v>-68125.579999999958</v>
      </c>
      <c r="G165" s="265"/>
      <c r="H165" s="266">
        <f>H163-H164</f>
        <v>72309.819999999949</v>
      </c>
      <c r="I165" s="266">
        <f>I163-I164</f>
        <v>143292</v>
      </c>
      <c r="J165" s="240">
        <f>H165-I165</f>
        <v>-70982.180000000051</v>
      </c>
      <c r="K165" s="265"/>
      <c r="L165" s="266">
        <f>L163-L164</f>
        <v>72391.981399999931</v>
      </c>
      <c r="M165" s="266">
        <f>M163-M164</f>
        <v>133549</v>
      </c>
      <c r="N165" s="240">
        <f>L165-M165</f>
        <v>-61157.018600000069</v>
      </c>
      <c r="O165" s="266"/>
      <c r="P165" s="265"/>
      <c r="Q165" s="266">
        <f>Q163-Q164</f>
        <v>-111004</v>
      </c>
      <c r="R165" s="267">
        <f>R163-R164</f>
        <v>240769.75</v>
      </c>
      <c r="S165" s="202"/>
      <c r="T165" s="268" t="s">
        <v>97</v>
      </c>
      <c r="U165" s="287">
        <f>U163-U164</f>
        <v>48888.410000000033</v>
      </c>
      <c r="V165" s="287">
        <f>V163-V164</f>
        <v>115699</v>
      </c>
      <c r="W165" s="268"/>
      <c r="X165" s="427">
        <f>X163-X164</f>
        <v>170019.39319999993</v>
      </c>
      <c r="Y165" s="428">
        <f>Y163-Y164</f>
        <v>239971.09999999998</v>
      </c>
      <c r="Z165" s="428">
        <f>Z163+Z164</f>
        <v>69951.706800000073</v>
      </c>
      <c r="AA165" s="269" t="s">
        <v>97</v>
      </c>
      <c r="AB165" s="427">
        <f>AB163-AB164</f>
        <v>174399.45319999987</v>
      </c>
      <c r="AC165" s="427">
        <f>AC163-AC164</f>
        <v>189668.4436639999</v>
      </c>
      <c r="AD165" s="427">
        <f>AD163-AD164</f>
        <v>212571.92935999983</v>
      </c>
      <c r="AE165" s="559" t="s">
        <v>97</v>
      </c>
    </row>
    <row r="166" spans="1:31" s="270" customFormat="1" ht="15">
      <c r="A166" s="263"/>
      <c r="B166" s="272"/>
      <c r="C166" s="265"/>
      <c r="D166" s="266"/>
      <c r="E166" s="266"/>
      <c r="F166" s="240"/>
      <c r="G166" s="265"/>
      <c r="H166" s="266"/>
      <c r="I166" s="266"/>
      <c r="J166" s="240"/>
      <c r="K166" s="265"/>
      <c r="L166" s="266"/>
      <c r="M166" s="266"/>
      <c r="N166" s="240"/>
      <c r="O166" s="266"/>
      <c r="P166" s="265"/>
      <c r="Q166" s="266"/>
      <c r="R166" s="267"/>
      <c r="S166" s="202"/>
      <c r="T166" s="268"/>
      <c r="U166" s="287"/>
      <c r="V166" s="287"/>
      <c r="W166" s="268"/>
      <c r="X166" s="427"/>
      <c r="Y166" s="428"/>
      <c r="Z166" s="428"/>
      <c r="AA166" s="269"/>
      <c r="AB166" s="427"/>
      <c r="AC166" s="427"/>
      <c r="AD166" s="427"/>
      <c r="AE166" s="559"/>
    </row>
    <row r="167" spans="1:31" s="270" customFormat="1" ht="16">
      <c r="A167" s="263"/>
      <c r="B167" s="271" t="s">
        <v>465</v>
      </c>
      <c r="C167" s="265"/>
      <c r="D167" s="266">
        <f>D160</f>
        <v>176800</v>
      </c>
      <c r="E167" s="266">
        <f>E160</f>
        <v>84442</v>
      </c>
      <c r="F167" s="240">
        <f>F160</f>
        <v>92358</v>
      </c>
      <c r="G167" s="265"/>
      <c r="H167" s="266">
        <f>H160</f>
        <v>75578.75</v>
      </c>
      <c r="I167" s="266">
        <f>I160</f>
        <v>64561</v>
      </c>
      <c r="J167" s="240">
        <f>H167-I167</f>
        <v>11017.75</v>
      </c>
      <c r="K167" s="265"/>
      <c r="L167" s="266">
        <f>L160</f>
        <v>144721.65</v>
      </c>
      <c r="M167" s="266">
        <f>M160</f>
        <v>66104</v>
      </c>
      <c r="N167" s="240">
        <f>L167-M167</f>
        <v>78617.649999999994</v>
      </c>
      <c r="O167" s="266"/>
      <c r="P167" s="265"/>
      <c r="Q167" s="266">
        <f>Q160</f>
        <v>106200</v>
      </c>
      <c r="R167" s="267">
        <f>R160</f>
        <v>43012</v>
      </c>
      <c r="S167" s="202"/>
      <c r="T167" s="268"/>
      <c r="U167" s="287">
        <f>U160</f>
        <v>134400</v>
      </c>
      <c r="V167" s="287">
        <f>V160</f>
        <v>76663</v>
      </c>
      <c r="W167" s="268"/>
      <c r="X167" s="427">
        <f>X160</f>
        <v>118200</v>
      </c>
      <c r="Y167" s="428">
        <f>Y160</f>
        <v>21766</v>
      </c>
      <c r="Z167" s="428">
        <f>Z160</f>
        <v>96434</v>
      </c>
      <c r="AA167" s="269"/>
      <c r="AB167" s="427">
        <f>AB160</f>
        <v>162400</v>
      </c>
      <c r="AC167" s="427">
        <f>AC160</f>
        <v>162400</v>
      </c>
      <c r="AD167" s="427">
        <f>AD160</f>
        <v>162400</v>
      </c>
      <c r="AE167" s="559"/>
    </row>
    <row r="168" spans="1:31" s="270" customFormat="1" ht="16">
      <c r="A168" s="263"/>
      <c r="B168" s="273" t="s">
        <v>427</v>
      </c>
      <c r="C168" s="265"/>
      <c r="D168" s="266">
        <f>D165-D167</f>
        <v>-114288.57999999996</v>
      </c>
      <c r="E168" s="266">
        <f>E165-E167</f>
        <v>46195</v>
      </c>
      <c r="F168" s="240">
        <f>F165-F167</f>
        <v>-160483.57999999996</v>
      </c>
      <c r="G168" s="265"/>
      <c r="H168" s="266">
        <f>H165-H167</f>
        <v>-3268.9300000000512</v>
      </c>
      <c r="I168" s="266">
        <f>I165-I167</f>
        <v>78731</v>
      </c>
      <c r="J168" s="240">
        <f>H168-I168</f>
        <v>-81999.930000000051</v>
      </c>
      <c r="K168" s="265"/>
      <c r="L168" s="266">
        <f>L165-L167</f>
        <v>-72329.668600000063</v>
      </c>
      <c r="M168" s="266">
        <f>M165-M167</f>
        <v>67445</v>
      </c>
      <c r="N168" s="240">
        <f>L168-M168</f>
        <v>-139774.66860000006</v>
      </c>
      <c r="O168" s="266"/>
      <c r="P168" s="265"/>
      <c r="Q168" s="266">
        <f>Q165-Q167</f>
        <v>-217204</v>
      </c>
      <c r="R168" s="266">
        <f>R165-R167</f>
        <v>197757.75</v>
      </c>
      <c r="S168" s="202"/>
      <c r="T168" s="268"/>
      <c r="U168" s="288">
        <f t="shared" ref="U168" si="29">U165-U167</f>
        <v>-85511.589999999967</v>
      </c>
      <c r="V168" s="289">
        <f>V165-V167</f>
        <v>39036</v>
      </c>
      <c r="W168" s="268"/>
      <c r="X168" s="427">
        <f>X165-X167</f>
        <v>51819.393199999933</v>
      </c>
      <c r="Y168" s="429">
        <f>Y165-Y167</f>
        <v>218205.09999999998</v>
      </c>
      <c r="Z168" s="429">
        <f>Y168-X168</f>
        <v>166385.70680000004</v>
      </c>
      <c r="AA168" s="269"/>
      <c r="AB168" s="427">
        <f>AB165-AB167</f>
        <v>11999.453199999873</v>
      </c>
      <c r="AC168" s="427">
        <f>AC165-AC167</f>
        <v>27268.443663999904</v>
      </c>
      <c r="AD168" s="427">
        <f>AD165-AD167</f>
        <v>50171.929359999835</v>
      </c>
      <c r="AE168" s="559"/>
    </row>
    <row r="169" spans="1:31">
      <c r="A169" s="69"/>
      <c r="B169" s="107"/>
      <c r="C169" s="73"/>
      <c r="D169" s="107"/>
      <c r="E169" s="107"/>
      <c r="F169" s="107"/>
      <c r="G169" s="73"/>
      <c r="H169" s="107"/>
      <c r="I169" s="107"/>
      <c r="J169" s="107"/>
      <c r="K169" s="73"/>
      <c r="L169" s="107"/>
      <c r="M169" s="107"/>
      <c r="N169" s="107"/>
      <c r="O169" s="107"/>
      <c r="P169" s="73"/>
      <c r="Q169" s="107"/>
      <c r="R169" s="201"/>
      <c r="S169" s="201"/>
      <c r="T169" s="110"/>
      <c r="U169" s="178"/>
      <c r="V169" s="178"/>
      <c r="W169" s="110"/>
      <c r="X169" s="398"/>
      <c r="Y169" s="406"/>
      <c r="Z169" s="406"/>
      <c r="AA169" s="105"/>
      <c r="AB169" s="398"/>
      <c r="AC169" s="398"/>
      <c r="AD169" s="398"/>
      <c r="AE169" s="549"/>
    </row>
    <row r="170" spans="1:31">
      <c r="A170" s="69"/>
      <c r="B170" s="107"/>
      <c r="C170" s="73"/>
      <c r="D170" s="107"/>
      <c r="E170" s="107"/>
      <c r="F170" s="107"/>
      <c r="G170" s="73"/>
      <c r="H170" s="107"/>
      <c r="I170" s="107"/>
      <c r="J170" s="107"/>
      <c r="K170" s="73"/>
      <c r="L170" s="107"/>
      <c r="M170" s="107"/>
      <c r="N170" s="107"/>
      <c r="O170" s="107"/>
      <c r="P170" s="73"/>
      <c r="Q170" s="107"/>
      <c r="R170" s="201"/>
      <c r="S170" s="201"/>
      <c r="T170" s="110"/>
      <c r="U170" s="178"/>
      <c r="V170" s="178"/>
      <c r="W170" s="110"/>
      <c r="X170" s="398"/>
      <c r="Y170" s="406"/>
      <c r="Z170" s="406"/>
      <c r="AA170" s="105"/>
      <c r="AB170" s="398"/>
      <c r="AC170" s="398"/>
      <c r="AD170" s="398"/>
      <c r="AE170" s="549"/>
    </row>
    <row r="171" spans="1:31" ht="16">
      <c r="A171" s="69"/>
      <c r="B171" s="273" t="s">
        <v>144</v>
      </c>
      <c r="C171" s="73"/>
      <c r="D171" s="107">
        <v>21926</v>
      </c>
      <c r="E171" s="107">
        <v>21926</v>
      </c>
      <c r="F171" s="107">
        <f>D171-E171</f>
        <v>0</v>
      </c>
      <c r="G171" s="73"/>
      <c r="H171" s="107">
        <v>235000</v>
      </c>
      <c r="I171" s="107">
        <v>235000</v>
      </c>
      <c r="J171" s="107">
        <f>H171-I171</f>
        <v>0</v>
      </c>
      <c r="K171" s="73"/>
      <c r="L171" s="107"/>
      <c r="M171" s="107">
        <v>179126</v>
      </c>
      <c r="N171" s="107">
        <f>L171-M171</f>
        <v>-179126</v>
      </c>
      <c r="O171" s="107"/>
      <c r="P171" s="73"/>
      <c r="Q171" s="107">
        <v>264786</v>
      </c>
      <c r="R171" s="201">
        <v>264786</v>
      </c>
      <c r="S171" s="201"/>
      <c r="T171" s="274" t="s">
        <v>32</v>
      </c>
      <c r="U171" s="178"/>
      <c r="V171" s="178"/>
      <c r="W171" s="110"/>
      <c r="X171" s="427">
        <v>307730</v>
      </c>
      <c r="Y171" s="542">
        <v>239517</v>
      </c>
      <c r="Z171" s="542">
        <f>X171-Y171</f>
        <v>68213</v>
      </c>
      <c r="AA171" s="541" t="s">
        <v>32</v>
      </c>
      <c r="AB171" s="427">
        <f>Y172</f>
        <v>231695</v>
      </c>
      <c r="AC171" s="427">
        <f>Y172</f>
        <v>231695</v>
      </c>
      <c r="AD171" s="427">
        <f>Y172</f>
        <v>231695</v>
      </c>
      <c r="AE171" s="549" t="s">
        <v>32</v>
      </c>
    </row>
    <row r="172" spans="1:31" ht="16">
      <c r="A172" s="69"/>
      <c r="B172" s="273" t="s">
        <v>146</v>
      </c>
      <c r="C172" s="73"/>
      <c r="D172" s="107">
        <v>9274</v>
      </c>
      <c r="E172" s="107">
        <v>105952</v>
      </c>
      <c r="F172" s="107">
        <f>D172-E172</f>
        <v>-96678</v>
      </c>
      <c r="G172" s="73"/>
      <c r="H172" s="107">
        <v>167421</v>
      </c>
      <c r="I172" s="107">
        <v>179126</v>
      </c>
      <c r="J172" s="107">
        <f>H172-I172</f>
        <v>-11705</v>
      </c>
      <c r="K172" s="73"/>
      <c r="L172" s="107"/>
      <c r="M172" s="107">
        <v>198726</v>
      </c>
      <c r="N172" s="107">
        <f>L172-M172</f>
        <v>-198726</v>
      </c>
      <c r="O172" s="107"/>
      <c r="P172" s="73"/>
      <c r="Q172" s="107">
        <v>238916</v>
      </c>
      <c r="R172" s="201">
        <v>235455</v>
      </c>
      <c r="S172" s="201"/>
      <c r="T172" s="274" t="s">
        <v>32</v>
      </c>
      <c r="U172" s="178"/>
      <c r="V172" s="178"/>
      <c r="W172" s="110"/>
      <c r="X172" s="427">
        <v>253349</v>
      </c>
      <c r="Y172" s="542">
        <v>231695</v>
      </c>
      <c r="Z172" s="542">
        <f>X172-Y172</f>
        <v>21654</v>
      </c>
      <c r="AA172" s="541" t="s">
        <v>32</v>
      </c>
      <c r="AB172" s="427">
        <f>AB171+AB168</f>
        <v>243694.45319999987</v>
      </c>
      <c r="AC172" s="427">
        <f>AC171+AC168</f>
        <v>258963.4436639999</v>
      </c>
      <c r="AD172" s="427">
        <f>AD171+AD168</f>
        <v>281866.92935999983</v>
      </c>
      <c r="AE172" s="549" t="s">
        <v>32</v>
      </c>
    </row>
    <row r="173" spans="1:31" ht="15">
      <c r="A173" s="69"/>
      <c r="B173" s="273"/>
      <c r="C173" s="73"/>
      <c r="D173" s="107"/>
      <c r="E173" s="107"/>
      <c r="F173" s="107"/>
      <c r="G173" s="73"/>
      <c r="H173" s="107"/>
      <c r="I173" s="107"/>
      <c r="J173" s="107">
        <f>H173-I173</f>
        <v>0</v>
      </c>
      <c r="K173" s="73"/>
      <c r="L173" s="107"/>
      <c r="M173" s="107"/>
      <c r="N173" s="107"/>
      <c r="O173" s="107"/>
      <c r="P173" s="73"/>
      <c r="Q173" s="107"/>
      <c r="R173" s="201"/>
      <c r="S173" s="201"/>
      <c r="T173" s="110"/>
      <c r="U173" s="178"/>
      <c r="V173" s="178"/>
      <c r="W173" s="110"/>
      <c r="X173" s="427"/>
      <c r="Y173" s="429"/>
      <c r="Z173" s="429"/>
      <c r="AA173" s="541"/>
      <c r="AB173" s="427"/>
      <c r="AC173" s="427"/>
      <c r="AD173" s="427"/>
      <c r="AE173" s="549"/>
    </row>
    <row r="174" spans="1:31" ht="16">
      <c r="A174" s="69"/>
      <c r="B174" s="273" t="s">
        <v>13</v>
      </c>
      <c r="C174" s="73"/>
      <c r="D174" s="107">
        <v>56610</v>
      </c>
      <c r="E174" s="107">
        <v>53466</v>
      </c>
      <c r="F174" s="107">
        <f>D174-E174</f>
        <v>3144</v>
      </c>
      <c r="G174" s="73"/>
      <c r="H174" s="107">
        <v>56610</v>
      </c>
      <c r="I174" s="107">
        <v>43382</v>
      </c>
      <c r="J174" s="107">
        <f>H174-I174</f>
        <v>13228</v>
      </c>
      <c r="K174" s="73"/>
      <c r="L174" s="107"/>
      <c r="M174" s="107">
        <v>41762</v>
      </c>
      <c r="N174" s="107">
        <f>L174-M174</f>
        <v>-41762</v>
      </c>
      <c r="O174" s="107"/>
      <c r="P174" s="73"/>
      <c r="Q174" s="107">
        <v>37943</v>
      </c>
      <c r="R174" s="201">
        <v>37943</v>
      </c>
      <c r="S174" s="201"/>
      <c r="T174" s="110"/>
      <c r="U174" s="178"/>
      <c r="V174" s="178"/>
      <c r="W174" s="110"/>
      <c r="X174" s="427">
        <v>36258</v>
      </c>
      <c r="Y174" s="542">
        <v>38142</v>
      </c>
      <c r="Z174" s="542">
        <f>X174-Y174</f>
        <v>-1884</v>
      </c>
      <c r="AA174" s="541"/>
      <c r="AB174" s="427">
        <f>Y175</f>
        <v>43540</v>
      </c>
      <c r="AC174" s="427">
        <f>Y175</f>
        <v>43540</v>
      </c>
      <c r="AD174" s="427">
        <f>Y175</f>
        <v>43540</v>
      </c>
      <c r="AE174" s="549"/>
    </row>
    <row r="175" spans="1:31" ht="16">
      <c r="A175" s="69"/>
      <c r="B175" s="273" t="s">
        <v>14</v>
      </c>
      <c r="C175" s="73"/>
      <c r="D175" s="107">
        <v>56610</v>
      </c>
      <c r="E175" s="107">
        <v>43781</v>
      </c>
      <c r="F175" s="107">
        <f>D175-E175</f>
        <v>12829</v>
      </c>
      <c r="G175" s="73"/>
      <c r="H175" s="107">
        <v>56610</v>
      </c>
      <c r="I175" s="107">
        <v>41762</v>
      </c>
      <c r="J175" s="107">
        <f>H175-I175</f>
        <v>14848</v>
      </c>
      <c r="K175" s="73"/>
      <c r="L175" s="107"/>
      <c r="M175" s="107">
        <v>37943</v>
      </c>
      <c r="N175" s="107">
        <f>L175-M175</f>
        <v>-37943</v>
      </c>
      <c r="O175" s="107"/>
      <c r="P175" s="73"/>
      <c r="Q175" s="107">
        <v>37943</v>
      </c>
      <c r="R175" s="201">
        <v>35658</v>
      </c>
      <c r="S175" s="201"/>
      <c r="T175" s="110"/>
      <c r="U175" s="178"/>
      <c r="V175" s="178"/>
      <c r="W175" s="110"/>
      <c r="X175" s="427">
        <v>38142</v>
      </c>
      <c r="Y175" s="542">
        <v>43540</v>
      </c>
      <c r="Z175" s="542">
        <f>X175-Y175</f>
        <v>-5398</v>
      </c>
      <c r="AA175" s="105"/>
      <c r="AB175" s="398"/>
      <c r="AC175" s="398"/>
      <c r="AD175" s="398"/>
      <c r="AE175" s="549"/>
    </row>
  </sheetData>
  <mergeCells count="1">
    <mergeCell ref="U147:W147"/>
  </mergeCells>
  <phoneticPr fontId="20" type="noConversion"/>
  <printOptions headings="1"/>
  <pageMargins left="0.31496062992125984" right="0.31496062992125984" top="0.55118110236220474" bottom="0.55118110236220474" header="0.11811023622047245" footer="0.11811023622047245"/>
  <pageSetup paperSize="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77"/>
  <sheetViews>
    <sheetView showGridLines="0" workbookViewId="0">
      <selection activeCell="C6" sqref="C6:I10"/>
    </sheetView>
  </sheetViews>
  <sheetFormatPr baseColWidth="10" defaultColWidth="10.83203125" defaultRowHeight="12.75" customHeight="1"/>
  <cols>
    <col min="1" max="4" width="10.83203125" style="2" customWidth="1"/>
    <col min="5" max="5" width="26.83203125" style="2" customWidth="1"/>
    <col min="6" max="16384" width="10.83203125" style="2"/>
  </cols>
  <sheetData>
    <row r="1" spans="1:5" ht="15" customHeight="1">
      <c r="A1" s="52" t="s">
        <v>147</v>
      </c>
      <c r="B1" s="53" t="s">
        <v>148</v>
      </c>
      <c r="C1" s="54"/>
      <c r="D1" s="54"/>
      <c r="E1" s="54"/>
    </row>
    <row r="2" spans="1:5" ht="15" customHeight="1">
      <c r="A2" s="56">
        <v>1</v>
      </c>
      <c r="B2" s="52" t="s">
        <v>149</v>
      </c>
      <c r="C2" s="54"/>
      <c r="D2" s="54"/>
      <c r="E2" s="54"/>
    </row>
    <row r="3" spans="1:5" ht="15" customHeight="1">
      <c r="A3" s="54"/>
      <c r="B3" s="54"/>
      <c r="C3" s="52" t="s">
        <v>150</v>
      </c>
      <c r="D3" s="54"/>
      <c r="E3" s="54"/>
    </row>
    <row r="4" spans="1:5" ht="13.5" customHeight="1">
      <c r="A4" s="54"/>
      <c r="B4" s="54"/>
      <c r="C4" s="54"/>
      <c r="D4" s="54"/>
      <c r="E4" s="54"/>
    </row>
    <row r="5" spans="1:5" ht="15" customHeight="1">
      <c r="A5" s="56">
        <v>2</v>
      </c>
      <c r="B5" s="52" t="s">
        <v>151</v>
      </c>
      <c r="C5" s="54"/>
      <c r="D5" s="54"/>
      <c r="E5" s="54"/>
    </row>
    <row r="6" spans="1:5" ht="15" customHeight="1">
      <c r="A6" s="54"/>
      <c r="B6" s="54"/>
      <c r="C6" s="52" t="s">
        <v>152</v>
      </c>
      <c r="D6" s="54"/>
      <c r="E6" s="54"/>
    </row>
    <row r="7" spans="1:5" ht="15" customHeight="1">
      <c r="A7" s="54"/>
      <c r="B7" s="54"/>
      <c r="C7" s="52" t="s">
        <v>153</v>
      </c>
      <c r="D7" s="54"/>
      <c r="E7" s="54"/>
    </row>
    <row r="8" spans="1:5" ht="15" customHeight="1">
      <c r="A8" s="54"/>
      <c r="B8" s="54"/>
      <c r="C8" s="52" t="s">
        <v>154</v>
      </c>
      <c r="D8" s="54"/>
      <c r="E8" s="54"/>
    </row>
    <row r="9" spans="1:5" ht="15" customHeight="1">
      <c r="A9" s="54"/>
      <c r="B9" s="54"/>
      <c r="C9" s="52" t="s">
        <v>155</v>
      </c>
      <c r="D9" s="54"/>
      <c r="E9" s="54"/>
    </row>
    <row r="10" spans="1:5" ht="15" customHeight="1">
      <c r="A10" s="54"/>
      <c r="B10" s="54"/>
      <c r="C10" s="52" t="s">
        <v>156</v>
      </c>
      <c r="D10" s="54"/>
      <c r="E10" s="54"/>
    </row>
    <row r="11" spans="1:5" ht="13.5" customHeight="1">
      <c r="A11" s="54"/>
      <c r="B11" s="54"/>
      <c r="C11" s="54"/>
      <c r="D11" s="54"/>
      <c r="E11" s="54"/>
    </row>
    <row r="12" spans="1:5" ht="15" customHeight="1">
      <c r="A12" s="56">
        <v>3</v>
      </c>
      <c r="B12" s="52" t="s">
        <v>157</v>
      </c>
      <c r="C12" s="54"/>
      <c r="D12" s="54"/>
      <c r="E12" s="54"/>
    </row>
    <row r="13" spans="1:5" ht="13.5" customHeight="1">
      <c r="A13" s="54"/>
      <c r="B13" s="54"/>
      <c r="C13" s="54"/>
      <c r="D13" s="54"/>
      <c r="E13" s="54"/>
    </row>
    <row r="14" spans="1:5" ht="15" customHeight="1">
      <c r="A14" s="56">
        <v>4</v>
      </c>
      <c r="B14" s="52" t="s">
        <v>158</v>
      </c>
      <c r="C14" s="54"/>
      <c r="D14" s="54"/>
      <c r="E14" s="54"/>
    </row>
    <row r="15" spans="1:5" ht="13.5" customHeight="1">
      <c r="A15" s="54"/>
      <c r="B15" s="54"/>
      <c r="C15" s="54"/>
      <c r="D15" s="54"/>
      <c r="E15" s="54"/>
    </row>
    <row r="16" spans="1:5" ht="15" customHeight="1">
      <c r="A16" s="56">
        <v>5</v>
      </c>
      <c r="B16" s="52" t="s">
        <v>159</v>
      </c>
      <c r="C16" s="54"/>
      <c r="D16" s="54"/>
      <c r="E16" s="54"/>
    </row>
    <row r="17" spans="1:8" ht="13.5" customHeight="1">
      <c r="A17" s="54"/>
      <c r="B17" s="54"/>
      <c r="C17" s="54"/>
      <c r="D17" s="54"/>
      <c r="E17" s="54"/>
    </row>
    <row r="18" spans="1:8" ht="15" customHeight="1">
      <c r="A18" s="56">
        <v>6</v>
      </c>
      <c r="B18" s="59" t="s">
        <v>648</v>
      </c>
      <c r="C18" s="54"/>
      <c r="D18" s="54"/>
      <c r="E18" s="54"/>
    </row>
    <row r="19" spans="1:8" ht="13.5" customHeight="1">
      <c r="A19" s="54"/>
      <c r="B19" s="54"/>
      <c r="C19" s="54" t="s">
        <v>649</v>
      </c>
      <c r="D19" s="54"/>
      <c r="E19" s="54"/>
    </row>
    <row r="20" spans="1:8" ht="15" customHeight="1">
      <c r="D20" s="54"/>
      <c r="E20" s="54"/>
    </row>
    <row r="21" spans="1:8" ht="15" customHeight="1">
      <c r="A21" s="56">
        <v>7</v>
      </c>
      <c r="B21" s="52" t="s">
        <v>160</v>
      </c>
      <c r="C21" s="54"/>
      <c r="D21" s="54"/>
      <c r="E21" s="54"/>
    </row>
    <row r="22" spans="1:8" ht="15" customHeight="1">
      <c r="A22" s="54"/>
      <c r="B22" s="54"/>
      <c r="C22" s="52" t="s">
        <v>161</v>
      </c>
      <c r="D22" s="54"/>
      <c r="E22" s="54"/>
    </row>
    <row r="23" spans="1:8" ht="13.5" customHeight="1">
      <c r="A23" s="54"/>
      <c r="B23" s="54"/>
      <c r="C23" s="52" t="s">
        <v>162</v>
      </c>
      <c r="D23" s="54"/>
      <c r="E23" s="54"/>
    </row>
    <row r="24" spans="1:8" ht="13.5" customHeight="1">
      <c r="A24" s="54"/>
      <c r="B24" s="54"/>
      <c r="C24" s="54"/>
      <c r="D24" s="54"/>
      <c r="E24" s="54"/>
    </row>
    <row r="25" spans="1:8" ht="15" customHeight="1">
      <c r="A25" s="54"/>
      <c r="B25" s="57" t="s">
        <v>25</v>
      </c>
      <c r="C25" s="54"/>
      <c r="D25" s="54"/>
      <c r="E25" s="54"/>
    </row>
    <row r="26" spans="1:8" ht="15" customHeight="1">
      <c r="A26" s="56">
        <v>8</v>
      </c>
      <c r="B26" s="52" t="s">
        <v>163</v>
      </c>
      <c r="C26" s="54"/>
      <c r="D26" s="54"/>
      <c r="E26" s="54"/>
    </row>
    <row r="27" spans="1:8" ht="15" customHeight="1">
      <c r="A27" s="54"/>
      <c r="B27" s="54"/>
      <c r="C27" s="52" t="s">
        <v>164</v>
      </c>
      <c r="D27" s="54"/>
      <c r="E27" s="54"/>
    </row>
    <row r="28" spans="1:8" ht="15" customHeight="1">
      <c r="A28" s="54"/>
      <c r="B28" s="54"/>
      <c r="C28" s="52" t="s">
        <v>165</v>
      </c>
      <c r="D28" s="54"/>
      <c r="E28" s="54"/>
    </row>
    <row r="29" spans="1:8" ht="13.5" customHeight="1">
      <c r="A29" s="54"/>
      <c r="B29" s="54"/>
      <c r="C29" s="54"/>
      <c r="D29" s="54"/>
      <c r="E29" s="54"/>
    </row>
    <row r="30" spans="1:8" ht="15" customHeight="1">
      <c r="A30" s="56">
        <v>9</v>
      </c>
      <c r="B30" s="52" t="s">
        <v>166</v>
      </c>
      <c r="C30" s="54"/>
      <c r="D30" s="54"/>
      <c r="E30" s="54"/>
    </row>
    <row r="31" spans="1:8" ht="13.5" customHeight="1">
      <c r="A31" s="54"/>
      <c r="B31" s="54"/>
      <c r="C31" s="54"/>
      <c r="D31" s="54"/>
      <c r="E31" s="54"/>
    </row>
    <row r="32" spans="1:8" ht="15" customHeight="1">
      <c r="A32" s="56">
        <v>10</v>
      </c>
      <c r="B32" s="52" t="s">
        <v>591</v>
      </c>
      <c r="C32" s="54"/>
      <c r="D32" s="54"/>
      <c r="E32" s="54"/>
      <c r="H32" s="58"/>
    </row>
    <row r="33" spans="1:12" ht="15" customHeight="1">
      <c r="A33" s="54"/>
      <c r="B33" s="54"/>
      <c r="C33" s="52" t="s">
        <v>231</v>
      </c>
      <c r="D33" s="54"/>
      <c r="E33" s="54"/>
      <c r="H33" s="58"/>
    </row>
    <row r="34" spans="1:12" ht="15" customHeight="1">
      <c r="A34" s="54"/>
      <c r="B34" s="54"/>
      <c r="C34" s="52" t="s">
        <v>232</v>
      </c>
      <c r="D34" s="54"/>
      <c r="E34" s="54"/>
      <c r="H34" s="58"/>
    </row>
    <row r="35" spans="1:12" ht="15" customHeight="1">
      <c r="A35" s="54"/>
      <c r="B35" s="54"/>
      <c r="C35" s="54" t="s">
        <v>233</v>
      </c>
      <c r="D35" s="54"/>
      <c r="E35" s="54"/>
      <c r="H35" s="58"/>
    </row>
    <row r="36" spans="1:12" ht="15" customHeight="1">
      <c r="A36" s="54"/>
      <c r="B36" s="52"/>
      <c r="C36" s="54" t="s">
        <v>234</v>
      </c>
      <c r="D36" s="54"/>
      <c r="E36" s="54"/>
      <c r="H36" s="58"/>
    </row>
    <row r="37" spans="1:12" ht="13.5" customHeight="1">
      <c r="A37" s="54"/>
      <c r="B37" s="54"/>
      <c r="C37" s="52" t="s">
        <v>235</v>
      </c>
      <c r="D37" s="54"/>
      <c r="E37" s="54"/>
      <c r="H37" s="58"/>
    </row>
    <row r="38" spans="1:12" ht="15" customHeight="1">
      <c r="A38" s="56">
        <v>11</v>
      </c>
      <c r="B38" s="52" t="s">
        <v>167</v>
      </c>
      <c r="C38" s="54"/>
      <c r="D38" s="54"/>
      <c r="E38" s="54"/>
    </row>
    <row r="39" spans="1:12" ht="13.5" customHeight="1">
      <c r="A39" s="54"/>
      <c r="B39" s="54"/>
      <c r="C39" s="54"/>
      <c r="D39" s="54"/>
      <c r="E39" s="54"/>
    </row>
    <row r="40" spans="1:12" ht="15" customHeight="1">
      <c r="A40" s="56">
        <v>12</v>
      </c>
      <c r="B40" s="52" t="s">
        <v>168</v>
      </c>
      <c r="C40" s="54"/>
      <c r="D40" s="54"/>
      <c r="E40" s="54"/>
    </row>
    <row r="41" spans="1:12" ht="15" customHeight="1">
      <c r="A41" s="56"/>
      <c r="B41" s="52"/>
      <c r="C41" s="54" t="s">
        <v>592</v>
      </c>
      <c r="D41" s="54"/>
      <c r="E41" s="54"/>
      <c r="L41" s="2">
        <f>8260000*0.0074068</f>
        <v>61180.167999999998</v>
      </c>
    </row>
    <row r="42" spans="1:12" ht="13.5" customHeight="1">
      <c r="A42" s="54"/>
      <c r="B42" s="54"/>
      <c r="C42" s="54"/>
      <c r="D42" s="54"/>
      <c r="E42" s="54"/>
    </row>
    <row r="43" spans="1:12" ht="15" customHeight="1">
      <c r="A43" s="56">
        <v>13</v>
      </c>
      <c r="B43" s="52" t="s">
        <v>169</v>
      </c>
      <c r="C43" s="54"/>
      <c r="D43" s="54"/>
      <c r="E43" s="54"/>
    </row>
    <row r="44" spans="1:12" ht="15" customHeight="1">
      <c r="A44" s="54"/>
      <c r="B44" s="54"/>
      <c r="C44" s="52" t="s">
        <v>170</v>
      </c>
      <c r="D44" s="54"/>
      <c r="E44" s="54"/>
    </row>
    <row r="45" spans="1:12" ht="13.5" customHeight="1">
      <c r="A45" s="54"/>
      <c r="B45" s="54"/>
      <c r="C45" s="54"/>
      <c r="D45" s="54"/>
      <c r="E45" s="54"/>
    </row>
    <row r="46" spans="1:12" ht="15" customHeight="1">
      <c r="A46" s="56">
        <v>14</v>
      </c>
      <c r="B46" s="56">
        <v>63078</v>
      </c>
      <c r="C46" s="52" t="s">
        <v>171</v>
      </c>
      <c r="D46" s="54"/>
      <c r="E46" s="54"/>
    </row>
    <row r="47" spans="1:12" ht="15" customHeight="1">
      <c r="A47" s="54"/>
      <c r="B47" s="54"/>
      <c r="C47" s="52" t="s">
        <v>172</v>
      </c>
      <c r="D47" s="54"/>
      <c r="E47" s="54"/>
    </row>
    <row r="48" spans="1:12" ht="15" customHeight="1">
      <c r="A48" s="54"/>
      <c r="B48" s="54"/>
      <c r="C48" s="52" t="s">
        <v>173</v>
      </c>
      <c r="D48" s="54"/>
      <c r="E48" s="54"/>
    </row>
    <row r="49" spans="1:5" ht="15" customHeight="1">
      <c r="A49" s="54"/>
      <c r="B49" s="54"/>
      <c r="C49" s="52" t="s">
        <v>174</v>
      </c>
      <c r="D49" s="54"/>
      <c r="E49" s="54"/>
    </row>
    <row r="50" spans="1:5" ht="13.5" customHeight="1">
      <c r="A50" s="54"/>
      <c r="B50" s="54"/>
      <c r="C50" s="54"/>
      <c r="D50" s="54"/>
      <c r="E50" s="54"/>
    </row>
    <row r="51" spans="1:5" ht="15" customHeight="1">
      <c r="A51" s="54"/>
      <c r="B51" s="53" t="s">
        <v>175</v>
      </c>
      <c r="C51" s="54"/>
      <c r="D51" s="54"/>
      <c r="E51" s="54"/>
    </row>
    <row r="52" spans="1:5" ht="13.5" customHeight="1">
      <c r="A52" s="54"/>
      <c r="B52" s="54"/>
      <c r="C52" s="54"/>
      <c r="D52" s="54"/>
      <c r="E52" s="54"/>
    </row>
    <row r="53" spans="1:5" ht="15" customHeight="1">
      <c r="A53" s="54"/>
      <c r="B53" s="57" t="s">
        <v>84</v>
      </c>
      <c r="C53" s="54"/>
      <c r="D53" s="54"/>
      <c r="E53" s="54"/>
    </row>
    <row r="54" spans="1:5" ht="15" customHeight="1">
      <c r="A54" s="56">
        <v>15</v>
      </c>
      <c r="B54" s="52" t="s">
        <v>176</v>
      </c>
      <c r="C54" s="54"/>
      <c r="D54" s="54"/>
      <c r="E54" s="54"/>
    </row>
    <row r="55" spans="1:5" ht="15" customHeight="1">
      <c r="A55" s="54"/>
      <c r="B55" s="54"/>
      <c r="C55" s="52" t="s">
        <v>177</v>
      </c>
      <c r="D55" s="54"/>
      <c r="E55" s="54"/>
    </row>
    <row r="56" spans="1:5" ht="13.5" customHeight="1">
      <c r="A56" s="54"/>
      <c r="B56" s="54"/>
      <c r="C56" s="54"/>
      <c r="D56" s="54"/>
      <c r="E56" s="54"/>
    </row>
    <row r="57" spans="1:5" ht="15" customHeight="1">
      <c r="A57" s="56">
        <v>16</v>
      </c>
      <c r="B57" s="52" t="s">
        <v>178</v>
      </c>
      <c r="C57" s="54"/>
      <c r="D57" s="54"/>
      <c r="E57" s="54"/>
    </row>
    <row r="58" spans="1:5" ht="13.5" customHeight="1">
      <c r="A58" s="54"/>
      <c r="B58" s="54"/>
      <c r="C58" s="54"/>
      <c r="D58" s="54"/>
      <c r="E58" s="54"/>
    </row>
    <row r="59" spans="1:5" ht="15" customHeight="1">
      <c r="A59" s="56">
        <v>17</v>
      </c>
      <c r="B59" s="52" t="s">
        <v>179</v>
      </c>
      <c r="C59" s="54"/>
      <c r="D59" s="54"/>
      <c r="E59" s="54"/>
    </row>
    <row r="60" spans="1:5" ht="13.5" customHeight="1">
      <c r="A60" s="54"/>
      <c r="B60" s="54"/>
      <c r="C60" s="54"/>
      <c r="D60" s="54"/>
      <c r="E60" s="54"/>
    </row>
    <row r="61" spans="1:5" ht="15" customHeight="1">
      <c r="A61" s="56">
        <v>18</v>
      </c>
      <c r="B61" s="59" t="s">
        <v>377</v>
      </c>
      <c r="C61" s="54"/>
      <c r="D61" s="54"/>
      <c r="E61" s="54"/>
    </row>
    <row r="62" spans="1:5" ht="13.5" customHeight="1">
      <c r="A62" s="54"/>
      <c r="B62" s="54"/>
      <c r="C62" s="54"/>
      <c r="D62" s="54"/>
      <c r="E62" s="54"/>
    </row>
    <row r="63" spans="1:5" ht="15" customHeight="1">
      <c r="A63" s="56">
        <v>19</v>
      </c>
      <c r="B63" s="52" t="s">
        <v>180</v>
      </c>
      <c r="C63" s="54"/>
      <c r="D63" s="54"/>
      <c r="E63" s="54"/>
    </row>
    <row r="64" spans="1:5" ht="15" customHeight="1">
      <c r="A64" s="54"/>
      <c r="B64" s="54"/>
      <c r="C64" s="52" t="s">
        <v>181</v>
      </c>
      <c r="D64" s="54"/>
      <c r="E64" s="54"/>
    </row>
    <row r="65" spans="1:5" ht="13.5" customHeight="1">
      <c r="A65" s="54"/>
      <c r="B65" s="54"/>
      <c r="C65" s="54"/>
      <c r="D65" s="54"/>
      <c r="E65" s="54"/>
    </row>
    <row r="66" spans="1:5" ht="15" customHeight="1">
      <c r="A66" s="56">
        <v>20</v>
      </c>
      <c r="B66" s="52" t="s">
        <v>182</v>
      </c>
      <c r="C66" s="54"/>
      <c r="D66" s="54"/>
      <c r="E66" s="54"/>
    </row>
    <row r="67" spans="1:5" ht="13.5" customHeight="1">
      <c r="A67" s="54"/>
      <c r="B67" s="54"/>
      <c r="C67" s="54"/>
      <c r="D67" s="54"/>
      <c r="E67" s="54"/>
    </row>
    <row r="68" spans="1:5" ht="15" customHeight="1">
      <c r="A68" s="56">
        <v>21</v>
      </c>
      <c r="B68" s="52" t="s">
        <v>183</v>
      </c>
      <c r="C68" s="54"/>
      <c r="D68" s="54"/>
      <c r="E68" s="54"/>
    </row>
    <row r="69" spans="1:5" ht="13.5" customHeight="1">
      <c r="A69" s="54"/>
      <c r="B69" s="54"/>
      <c r="C69" s="54"/>
      <c r="D69" s="54"/>
      <c r="E69" s="54"/>
    </row>
    <row r="70" spans="1:5" ht="15" customHeight="1">
      <c r="A70" s="56">
        <v>22</v>
      </c>
      <c r="B70" s="52" t="s">
        <v>184</v>
      </c>
      <c r="C70" s="54"/>
      <c r="D70" s="54"/>
      <c r="E70" s="54"/>
    </row>
    <row r="71" spans="1:5" ht="15" customHeight="1">
      <c r="A71" s="54"/>
      <c r="B71" s="54"/>
      <c r="C71" s="52" t="s">
        <v>185</v>
      </c>
      <c r="D71" s="54"/>
      <c r="E71" s="54"/>
    </row>
    <row r="72" spans="1:5" ht="15" customHeight="1">
      <c r="A72" s="54"/>
      <c r="B72" s="54"/>
      <c r="C72" s="52" t="s">
        <v>186</v>
      </c>
      <c r="D72" s="54"/>
      <c r="E72" s="54"/>
    </row>
    <row r="73" spans="1:5" ht="13.5" customHeight="1">
      <c r="A73" s="54"/>
      <c r="B73" s="54"/>
      <c r="C73" s="54"/>
      <c r="D73" s="54"/>
      <c r="E73" s="54"/>
    </row>
    <row r="74" spans="1:5" ht="15" customHeight="1">
      <c r="A74" s="54"/>
      <c r="B74" s="52" t="s">
        <v>187</v>
      </c>
      <c r="C74" s="54"/>
      <c r="D74" s="54"/>
      <c r="E74" s="54"/>
    </row>
    <row r="75" spans="1:5" ht="15" customHeight="1">
      <c r="A75" s="54"/>
      <c r="B75" s="54"/>
      <c r="C75" s="52" t="s">
        <v>188</v>
      </c>
      <c r="D75" s="54"/>
      <c r="E75" s="54"/>
    </row>
    <row r="76" spans="1:5" ht="13.5" customHeight="1">
      <c r="A76" s="54"/>
      <c r="B76" s="54"/>
      <c r="C76" s="54"/>
      <c r="D76" s="54"/>
      <c r="E76" s="54"/>
    </row>
    <row r="77" spans="1:5" ht="15" customHeight="1">
      <c r="A77" s="54"/>
      <c r="B77" s="52" t="s">
        <v>189</v>
      </c>
      <c r="C77" s="54"/>
      <c r="D77" s="54"/>
      <c r="E77" s="54"/>
    </row>
  </sheetData>
  <phoneticPr fontId="20" type="noConversion"/>
  <pageMargins left="0" right="0" top="0.19685039370078741" bottom="0.19685039370078741" header="0.31496062992125984" footer="0.11811023622047245"/>
  <pageSetup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topLeftCell="A18" workbookViewId="0">
      <selection sqref="A1:K1"/>
    </sheetView>
  </sheetViews>
  <sheetFormatPr baseColWidth="10" defaultColWidth="9.1640625" defaultRowHeight="13"/>
  <cols>
    <col min="1" max="1" width="7.5" style="17" customWidth="1"/>
    <col min="2" max="2" width="49.5" style="17" customWidth="1"/>
    <col min="3" max="3" width="11.83203125" style="17" customWidth="1"/>
    <col min="4" max="4" width="12" style="17" customWidth="1"/>
    <col min="5" max="5" width="9.5" style="17" customWidth="1"/>
    <col min="6" max="6" width="12.5" style="17" customWidth="1"/>
    <col min="7" max="7" width="13" style="17" customWidth="1"/>
    <col min="8" max="8" width="11.5" style="17" customWidth="1"/>
    <col min="9" max="9" width="14.5" style="17" customWidth="1"/>
    <col min="10" max="10" width="7" style="17" customWidth="1"/>
    <col min="11" max="11" width="12.5" style="17" customWidth="1"/>
    <col min="12" max="16384" width="9.1640625" style="17"/>
  </cols>
  <sheetData>
    <row r="1" spans="1:11" ht="18">
      <c r="A1" s="563" t="s">
        <v>387</v>
      </c>
      <c r="B1" s="563"/>
      <c r="C1" s="563"/>
      <c r="D1" s="563"/>
      <c r="E1" s="563"/>
      <c r="F1" s="563"/>
      <c r="G1" s="563"/>
      <c r="H1" s="563"/>
      <c r="I1" s="563"/>
      <c r="J1" s="563"/>
      <c r="K1" s="563"/>
    </row>
    <row r="2" spans="1:11" ht="34.5" customHeight="1">
      <c r="A2" s="562" t="s">
        <v>237</v>
      </c>
      <c r="B2" s="562"/>
      <c r="C2" s="562"/>
      <c r="D2" s="562"/>
      <c r="E2" s="562"/>
      <c r="F2" s="562"/>
      <c r="G2" s="562"/>
      <c r="H2" s="562"/>
      <c r="I2" s="562"/>
      <c r="J2" s="562"/>
      <c r="K2" s="562"/>
    </row>
    <row r="3" spans="1:11" s="20" customFormat="1" ht="56">
      <c r="A3" s="18" t="s">
        <v>238</v>
      </c>
      <c r="B3" s="18" t="s">
        <v>239</v>
      </c>
      <c r="C3" s="19" t="s">
        <v>240</v>
      </c>
      <c r="D3" s="19" t="s">
        <v>241</v>
      </c>
      <c r="E3" s="19" t="s">
        <v>242</v>
      </c>
      <c r="F3" s="19" t="s">
        <v>243</v>
      </c>
      <c r="G3" s="19" t="s">
        <v>244</v>
      </c>
      <c r="H3" s="19" t="s">
        <v>245</v>
      </c>
      <c r="I3" s="19" t="s">
        <v>246</v>
      </c>
      <c r="J3" s="19" t="s">
        <v>247</v>
      </c>
      <c r="K3" s="19" t="s">
        <v>248</v>
      </c>
    </row>
    <row r="4" spans="1:11" ht="14" thickBot="1">
      <c r="C4" s="17" t="s">
        <v>249</v>
      </c>
      <c r="D4" s="17" t="s">
        <v>250</v>
      </c>
      <c r="E4" s="21" t="s">
        <v>251</v>
      </c>
      <c r="F4" s="17" t="s">
        <v>252</v>
      </c>
      <c r="G4" s="17" t="s">
        <v>253</v>
      </c>
      <c r="H4" s="17" t="s">
        <v>254</v>
      </c>
      <c r="I4" s="17" t="s">
        <v>255</v>
      </c>
      <c r="J4" s="17" t="s">
        <v>256</v>
      </c>
      <c r="K4" s="17" t="s">
        <v>257</v>
      </c>
    </row>
    <row r="5" spans="1:11" ht="14" thickBot="1">
      <c r="A5" s="22">
        <v>4.0999999999999996</v>
      </c>
      <c r="B5" s="23" t="s">
        <v>258</v>
      </c>
      <c r="C5" s="24"/>
      <c r="D5" s="24"/>
      <c r="E5" s="24"/>
      <c r="F5" s="24"/>
      <c r="G5" s="24"/>
      <c r="H5" s="24"/>
      <c r="I5" s="24"/>
      <c r="J5" s="24"/>
      <c r="K5" s="25"/>
    </row>
    <row r="6" spans="1:11" ht="15" customHeight="1" thickBot="1">
      <c r="A6" s="26" t="s">
        <v>259</v>
      </c>
      <c r="B6" s="17" t="s">
        <v>260</v>
      </c>
      <c r="C6" s="27">
        <v>1977</v>
      </c>
      <c r="D6" s="28">
        <v>18000</v>
      </c>
      <c r="E6" s="29">
        <v>1</v>
      </c>
      <c r="F6" s="28">
        <v>18000</v>
      </c>
      <c r="G6" s="21" t="s">
        <v>261</v>
      </c>
      <c r="H6" s="28">
        <v>360</v>
      </c>
      <c r="I6" s="28">
        <v>14760</v>
      </c>
      <c r="J6" s="30">
        <v>41</v>
      </c>
      <c r="K6" s="30">
        <v>9</v>
      </c>
    </row>
    <row r="7" spans="1:11" ht="14" thickBot="1">
      <c r="A7" s="22">
        <v>4.2</v>
      </c>
      <c r="B7" s="23" t="s">
        <v>262</v>
      </c>
      <c r="C7" s="31"/>
      <c r="D7" s="32"/>
      <c r="E7" s="33"/>
      <c r="F7" s="32"/>
      <c r="G7" s="24"/>
      <c r="H7" s="32"/>
      <c r="I7" s="34"/>
      <c r="J7" s="35"/>
      <c r="K7" s="36"/>
    </row>
    <row r="8" spans="1:11">
      <c r="A8" s="26" t="s">
        <v>263</v>
      </c>
      <c r="B8" s="17" t="s">
        <v>264</v>
      </c>
      <c r="C8" s="27">
        <v>2011</v>
      </c>
      <c r="D8" s="28">
        <v>400050</v>
      </c>
      <c r="E8" s="29">
        <v>1</v>
      </c>
      <c r="F8" s="28">
        <v>400050</v>
      </c>
      <c r="G8" s="21" t="s">
        <v>265</v>
      </c>
      <c r="H8" s="28">
        <v>26670</v>
      </c>
      <c r="I8" s="28">
        <v>186690</v>
      </c>
      <c r="J8" s="30">
        <v>7</v>
      </c>
      <c r="K8" s="30">
        <v>8</v>
      </c>
    </row>
    <row r="9" spans="1:11">
      <c r="A9" s="26" t="s">
        <v>266</v>
      </c>
      <c r="B9" s="37" t="s">
        <v>267</v>
      </c>
      <c r="C9" s="27">
        <v>1977</v>
      </c>
      <c r="D9" s="28">
        <v>900000</v>
      </c>
      <c r="E9" s="29">
        <v>0.2</v>
      </c>
      <c r="F9" s="28">
        <v>180000</v>
      </c>
      <c r="G9" s="21" t="s">
        <v>268</v>
      </c>
      <c r="H9" s="28">
        <v>3600</v>
      </c>
      <c r="I9" s="28">
        <v>147600</v>
      </c>
      <c r="J9" s="30">
        <v>41</v>
      </c>
      <c r="K9" s="30">
        <v>9</v>
      </c>
    </row>
    <row r="10" spans="1:11">
      <c r="A10" s="26" t="s">
        <v>269</v>
      </c>
      <c r="B10" s="37" t="s">
        <v>270</v>
      </c>
      <c r="C10" s="27">
        <v>2000</v>
      </c>
      <c r="D10" s="28">
        <v>675000</v>
      </c>
      <c r="E10" s="29">
        <v>1</v>
      </c>
      <c r="F10" s="28">
        <v>675000</v>
      </c>
      <c r="G10" s="21" t="s">
        <v>271</v>
      </c>
      <c r="H10" s="28">
        <v>22500</v>
      </c>
      <c r="I10" s="28">
        <v>405000</v>
      </c>
      <c r="J10" s="30">
        <v>18</v>
      </c>
      <c r="K10" s="30">
        <v>12</v>
      </c>
    </row>
    <row r="11" spans="1:11">
      <c r="A11" s="26" t="s">
        <v>272</v>
      </c>
      <c r="B11" s="37" t="s">
        <v>273</v>
      </c>
      <c r="C11" s="27">
        <v>1977</v>
      </c>
      <c r="D11" s="28">
        <v>384010</v>
      </c>
      <c r="E11" s="29">
        <v>1</v>
      </c>
      <c r="F11" s="28">
        <v>384010</v>
      </c>
      <c r="G11" s="21" t="s">
        <v>274</v>
      </c>
      <c r="H11" s="28">
        <v>12810</v>
      </c>
      <c r="I11" s="28">
        <v>384010</v>
      </c>
      <c r="J11" s="30">
        <v>41</v>
      </c>
      <c r="K11" s="30">
        <v>1</v>
      </c>
    </row>
    <row r="12" spans="1:11">
      <c r="A12" s="26" t="s">
        <v>275</v>
      </c>
      <c r="B12" s="37" t="s">
        <v>276</v>
      </c>
      <c r="C12" s="27">
        <v>2011</v>
      </c>
      <c r="D12" s="28">
        <v>69300</v>
      </c>
      <c r="E12" s="29">
        <v>1</v>
      </c>
      <c r="F12" s="28">
        <v>69300</v>
      </c>
      <c r="G12" s="21" t="s">
        <v>277</v>
      </c>
      <c r="H12" s="28">
        <v>1740</v>
      </c>
      <c r="I12" s="28">
        <v>12180</v>
      </c>
      <c r="J12" s="30">
        <v>7</v>
      </c>
      <c r="K12" s="30">
        <v>33</v>
      </c>
    </row>
    <row r="13" spans="1:11">
      <c r="A13" s="26" t="s">
        <v>278</v>
      </c>
      <c r="B13" s="37" t="s">
        <v>279</v>
      </c>
      <c r="C13" s="27">
        <v>2000</v>
      </c>
      <c r="D13" s="28">
        <v>118800</v>
      </c>
      <c r="E13" s="29">
        <v>1</v>
      </c>
      <c r="F13" s="28">
        <v>118800</v>
      </c>
      <c r="G13" s="21" t="s">
        <v>280</v>
      </c>
      <c r="H13" s="28">
        <v>3400</v>
      </c>
      <c r="I13" s="28">
        <v>61200</v>
      </c>
      <c r="J13" s="30">
        <v>18</v>
      </c>
      <c r="K13" s="30">
        <v>17</v>
      </c>
    </row>
    <row r="14" spans="1:11">
      <c r="A14" s="26" t="s">
        <v>281</v>
      </c>
      <c r="B14" s="37" t="s">
        <v>282</v>
      </c>
      <c r="C14" s="27">
        <v>2000</v>
      </c>
      <c r="D14" s="28">
        <v>82500</v>
      </c>
      <c r="E14" s="29">
        <v>1</v>
      </c>
      <c r="F14" s="28">
        <v>82500</v>
      </c>
      <c r="G14" s="21" t="s">
        <v>283</v>
      </c>
      <c r="H14" s="28">
        <v>3300</v>
      </c>
      <c r="I14" s="28">
        <v>59400</v>
      </c>
      <c r="J14" s="30">
        <v>18</v>
      </c>
      <c r="K14" s="30">
        <v>7</v>
      </c>
    </row>
    <row r="15" spans="1:11">
      <c r="A15" s="26" t="s">
        <v>284</v>
      </c>
      <c r="B15" s="37" t="s">
        <v>285</v>
      </c>
      <c r="C15" s="27" t="s">
        <v>286</v>
      </c>
      <c r="D15" s="28">
        <v>33000</v>
      </c>
      <c r="E15" s="29">
        <v>1</v>
      </c>
      <c r="F15" s="28">
        <v>33000</v>
      </c>
      <c r="G15" s="21" t="s">
        <v>287</v>
      </c>
      <c r="H15" s="28">
        <v>1320</v>
      </c>
      <c r="I15" s="28">
        <v>26400</v>
      </c>
      <c r="J15" s="30" t="s">
        <v>286</v>
      </c>
      <c r="K15" s="30">
        <v>5</v>
      </c>
    </row>
    <row r="16" spans="1:11">
      <c r="A16" s="26" t="s">
        <v>288</v>
      </c>
      <c r="B16" s="37" t="s">
        <v>289</v>
      </c>
      <c r="C16" s="27">
        <v>1977</v>
      </c>
      <c r="D16" s="28">
        <v>180000</v>
      </c>
      <c r="E16" s="29">
        <v>1</v>
      </c>
      <c r="F16" s="28">
        <v>180000</v>
      </c>
      <c r="G16" s="21" t="s">
        <v>290</v>
      </c>
      <c r="H16" s="28">
        <v>6000</v>
      </c>
      <c r="I16" s="28">
        <v>180000</v>
      </c>
      <c r="J16" s="30">
        <v>41</v>
      </c>
      <c r="K16" s="30">
        <v>0</v>
      </c>
    </row>
    <row r="17" spans="1:11">
      <c r="A17" s="26" t="s">
        <v>291</v>
      </c>
      <c r="B17" s="37" t="s">
        <v>292</v>
      </c>
      <c r="C17" s="27" t="s">
        <v>286</v>
      </c>
      <c r="D17" s="28">
        <v>26400</v>
      </c>
      <c r="E17" s="29">
        <v>1</v>
      </c>
      <c r="F17" s="28">
        <v>26400</v>
      </c>
      <c r="G17" s="21" t="s">
        <v>293</v>
      </c>
      <c r="H17" s="28">
        <v>2200</v>
      </c>
      <c r="I17" s="28">
        <v>19800</v>
      </c>
      <c r="J17" s="30" t="s">
        <v>286</v>
      </c>
      <c r="K17" s="30">
        <v>3</v>
      </c>
    </row>
    <row r="18" spans="1:11" ht="14" thickBot="1">
      <c r="A18" s="26" t="s">
        <v>294</v>
      </c>
      <c r="B18" s="37" t="s">
        <v>295</v>
      </c>
      <c r="C18" s="27" t="s">
        <v>286</v>
      </c>
      <c r="D18" s="28">
        <v>8500</v>
      </c>
      <c r="E18" s="29">
        <v>1</v>
      </c>
      <c r="F18" s="28">
        <v>8500</v>
      </c>
      <c r="G18" s="21" t="s">
        <v>296</v>
      </c>
      <c r="H18" s="28">
        <v>710</v>
      </c>
      <c r="I18" s="28">
        <v>6390</v>
      </c>
      <c r="J18" s="30" t="s">
        <v>286</v>
      </c>
      <c r="K18" s="30">
        <v>3</v>
      </c>
    </row>
    <row r="19" spans="1:11" ht="14" thickBot="1">
      <c r="A19" s="22">
        <v>4.3</v>
      </c>
      <c r="B19" s="23" t="s">
        <v>297</v>
      </c>
      <c r="C19" s="31"/>
      <c r="D19" s="32"/>
      <c r="E19" s="33"/>
      <c r="F19" s="32"/>
      <c r="G19" s="24"/>
      <c r="H19" s="32"/>
      <c r="I19" s="34"/>
      <c r="J19" s="35"/>
      <c r="K19" s="36"/>
    </row>
    <row r="20" spans="1:11">
      <c r="A20" s="26" t="s">
        <v>298</v>
      </c>
      <c r="B20" s="37" t="s">
        <v>299</v>
      </c>
      <c r="C20" s="27" t="s">
        <v>286</v>
      </c>
      <c r="D20" s="28">
        <v>297000</v>
      </c>
      <c r="E20" s="29">
        <v>1</v>
      </c>
      <c r="F20" s="28">
        <v>297000</v>
      </c>
      <c r="G20" s="21" t="s">
        <v>283</v>
      </c>
      <c r="H20" s="28">
        <v>11880</v>
      </c>
      <c r="I20" s="28">
        <v>213840</v>
      </c>
      <c r="J20" s="30" t="s">
        <v>286</v>
      </c>
      <c r="K20" s="30">
        <v>7</v>
      </c>
    </row>
    <row r="21" spans="1:11">
      <c r="A21" s="26" t="s">
        <v>300</v>
      </c>
      <c r="B21" s="37" t="s">
        <v>301</v>
      </c>
      <c r="C21" s="27" t="s">
        <v>286</v>
      </c>
      <c r="D21" s="28">
        <v>396000</v>
      </c>
      <c r="E21" s="29">
        <v>1</v>
      </c>
      <c r="F21" s="28">
        <v>396000</v>
      </c>
      <c r="G21" s="21" t="s">
        <v>283</v>
      </c>
      <c r="H21" s="28">
        <v>15840</v>
      </c>
      <c r="I21" s="28">
        <v>0</v>
      </c>
      <c r="J21" s="30" t="s">
        <v>286</v>
      </c>
      <c r="K21" s="30">
        <v>25</v>
      </c>
    </row>
    <row r="22" spans="1:11">
      <c r="A22" s="26" t="s">
        <v>302</v>
      </c>
      <c r="B22" s="37" t="s">
        <v>303</v>
      </c>
      <c r="C22" s="27" t="s">
        <v>286</v>
      </c>
      <c r="D22" s="28">
        <v>594000</v>
      </c>
      <c r="E22" s="29">
        <v>7.0000000000000007E-2</v>
      </c>
      <c r="F22" s="28">
        <v>39600</v>
      </c>
      <c r="G22" s="21" t="s">
        <v>304</v>
      </c>
      <c r="H22" s="28">
        <v>2640</v>
      </c>
      <c r="I22" s="28">
        <v>39600</v>
      </c>
      <c r="J22" s="30" t="s">
        <v>286</v>
      </c>
      <c r="K22" s="30">
        <v>0</v>
      </c>
    </row>
    <row r="23" spans="1:11">
      <c r="A23" s="26" t="s">
        <v>305</v>
      </c>
      <c r="B23" s="37" t="s">
        <v>306</v>
      </c>
      <c r="C23" s="27">
        <v>2010</v>
      </c>
      <c r="D23" s="28">
        <v>52800</v>
      </c>
      <c r="E23" s="29">
        <v>0.06</v>
      </c>
      <c r="F23" s="28">
        <v>3170</v>
      </c>
      <c r="G23" s="21" t="s">
        <v>307</v>
      </c>
      <c r="H23" s="28">
        <v>110</v>
      </c>
      <c r="I23" s="28">
        <v>880</v>
      </c>
      <c r="J23" s="30">
        <v>8</v>
      </c>
      <c r="K23" s="30">
        <v>0</v>
      </c>
    </row>
    <row r="24" spans="1:11">
      <c r="A24" s="26" t="s">
        <v>308</v>
      </c>
      <c r="B24" s="37" t="s">
        <v>309</v>
      </c>
      <c r="C24" s="27">
        <v>2010</v>
      </c>
      <c r="D24" s="28">
        <v>59400</v>
      </c>
      <c r="E24" s="29">
        <v>0.06</v>
      </c>
      <c r="F24" s="28">
        <v>3570</v>
      </c>
      <c r="G24" s="21" t="s">
        <v>310</v>
      </c>
      <c r="H24" s="28">
        <v>180</v>
      </c>
      <c r="I24" s="28">
        <v>1440</v>
      </c>
      <c r="J24" s="30">
        <v>8</v>
      </c>
      <c r="K24" s="30">
        <v>0</v>
      </c>
    </row>
    <row r="25" spans="1:11" ht="14" thickBot="1">
      <c r="A25" s="26" t="s">
        <v>311</v>
      </c>
      <c r="B25" s="37" t="s">
        <v>312</v>
      </c>
      <c r="C25" s="27" t="s">
        <v>286</v>
      </c>
      <c r="D25" s="28">
        <v>47520</v>
      </c>
      <c r="E25" s="29">
        <v>0.05</v>
      </c>
      <c r="F25" s="28">
        <v>2380</v>
      </c>
      <c r="G25" s="17" t="s">
        <v>313</v>
      </c>
      <c r="H25" s="28">
        <v>2380</v>
      </c>
      <c r="I25" s="28">
        <v>2380</v>
      </c>
      <c r="J25" s="30" t="s">
        <v>286</v>
      </c>
      <c r="K25" s="30">
        <v>0</v>
      </c>
    </row>
    <row r="26" spans="1:11" ht="14" thickBot="1">
      <c r="A26" s="22">
        <v>4.4000000000000004</v>
      </c>
      <c r="B26" s="23" t="s">
        <v>314</v>
      </c>
      <c r="C26" s="31"/>
      <c r="D26" s="32"/>
      <c r="E26" s="33"/>
      <c r="F26" s="32"/>
      <c r="G26" s="24"/>
      <c r="H26" s="32"/>
      <c r="I26" s="34"/>
      <c r="J26" s="35"/>
      <c r="K26" s="36"/>
    </row>
    <row r="27" spans="1:11">
      <c r="A27" s="26" t="s">
        <v>315</v>
      </c>
      <c r="B27" s="37" t="s">
        <v>316</v>
      </c>
      <c r="C27" s="27">
        <v>2007</v>
      </c>
      <c r="D27" s="28">
        <v>363000</v>
      </c>
      <c r="E27" s="29">
        <v>1</v>
      </c>
      <c r="F27" s="28">
        <v>363000</v>
      </c>
      <c r="G27" s="21" t="s">
        <v>287</v>
      </c>
      <c r="H27" s="28">
        <v>14520</v>
      </c>
      <c r="I27" s="28">
        <v>159720</v>
      </c>
      <c r="J27" s="30">
        <v>11</v>
      </c>
      <c r="K27" s="30">
        <v>10</v>
      </c>
    </row>
    <row r="28" spans="1:11">
      <c r="A28" s="26" t="s">
        <v>317</v>
      </c>
      <c r="B28" s="37" t="s">
        <v>318</v>
      </c>
      <c r="C28" s="27">
        <v>2008</v>
      </c>
      <c r="D28" s="28">
        <v>52800</v>
      </c>
      <c r="E28" s="29">
        <v>7.0000000000000007E-2</v>
      </c>
      <c r="F28" s="28">
        <v>3520</v>
      </c>
      <c r="G28" s="17" t="s">
        <v>313</v>
      </c>
      <c r="H28" s="28">
        <v>240</v>
      </c>
      <c r="I28" s="28">
        <v>2400</v>
      </c>
      <c r="J28" s="30">
        <v>10</v>
      </c>
      <c r="K28" s="30">
        <v>0</v>
      </c>
    </row>
    <row r="29" spans="1:11">
      <c r="A29" s="26" t="s">
        <v>319</v>
      </c>
      <c r="B29" s="37" t="s">
        <v>320</v>
      </c>
      <c r="C29" s="27">
        <v>1977</v>
      </c>
      <c r="D29" s="28">
        <v>528000</v>
      </c>
      <c r="E29" s="29">
        <v>0.25</v>
      </c>
      <c r="F29" s="28">
        <v>132000</v>
      </c>
      <c r="G29" s="21" t="s">
        <v>321</v>
      </c>
      <c r="H29" s="28">
        <v>2640</v>
      </c>
      <c r="I29" s="28">
        <v>108240</v>
      </c>
      <c r="J29" s="30">
        <v>41</v>
      </c>
      <c r="K29" s="30">
        <v>9</v>
      </c>
    </row>
    <row r="30" spans="1:11">
      <c r="A30" s="26" t="s">
        <v>322</v>
      </c>
      <c r="B30" s="37" t="s">
        <v>323</v>
      </c>
      <c r="C30" s="27">
        <v>1977</v>
      </c>
      <c r="D30" s="28">
        <v>100000</v>
      </c>
      <c r="E30" s="29">
        <v>1</v>
      </c>
      <c r="F30" s="28">
        <v>100000</v>
      </c>
      <c r="G30" s="21" t="s">
        <v>324</v>
      </c>
      <c r="H30" s="28">
        <v>2000</v>
      </c>
      <c r="I30" s="28">
        <v>82000</v>
      </c>
      <c r="J30" s="30">
        <v>41</v>
      </c>
      <c r="K30" s="30">
        <v>16</v>
      </c>
    </row>
    <row r="31" spans="1:11" ht="14" thickBot="1">
      <c r="A31" s="26" t="s">
        <v>325</v>
      </c>
      <c r="B31" s="37" t="s">
        <v>326</v>
      </c>
      <c r="C31" s="27">
        <v>1979</v>
      </c>
      <c r="D31" s="28">
        <v>100000</v>
      </c>
      <c r="E31" s="29">
        <v>1</v>
      </c>
      <c r="F31" s="28">
        <v>100000</v>
      </c>
      <c r="G31" s="21" t="s">
        <v>324</v>
      </c>
      <c r="H31" s="28">
        <v>2000</v>
      </c>
      <c r="I31" s="28">
        <v>78000</v>
      </c>
      <c r="J31" s="30">
        <v>39</v>
      </c>
      <c r="K31" s="30">
        <v>12</v>
      </c>
    </row>
    <row r="32" spans="1:11" ht="14" thickBot="1">
      <c r="A32" s="22">
        <v>4.5</v>
      </c>
      <c r="B32" s="23" t="s">
        <v>327</v>
      </c>
      <c r="C32" s="31"/>
      <c r="D32" s="32"/>
      <c r="E32" s="33"/>
      <c r="F32" s="32"/>
      <c r="G32" s="24"/>
      <c r="H32" s="32"/>
      <c r="I32" s="34"/>
      <c r="J32" s="35"/>
      <c r="K32" s="36"/>
    </row>
    <row r="33" spans="1:11">
      <c r="A33" s="26" t="s">
        <v>328</v>
      </c>
      <c r="B33" s="37" t="s">
        <v>329</v>
      </c>
      <c r="C33" s="27">
        <v>1977</v>
      </c>
      <c r="D33" s="28">
        <v>5400</v>
      </c>
      <c r="E33" s="29">
        <v>1</v>
      </c>
      <c r="F33" s="28">
        <v>5400</v>
      </c>
      <c r="G33" s="21" t="s">
        <v>324</v>
      </c>
      <c r="H33" s="28">
        <v>110</v>
      </c>
      <c r="I33" s="28">
        <v>4510</v>
      </c>
      <c r="J33" s="30">
        <v>41</v>
      </c>
      <c r="K33" s="30">
        <v>9</v>
      </c>
    </row>
    <row r="34" spans="1:11">
      <c r="A34" s="26" t="s">
        <v>330</v>
      </c>
      <c r="B34" s="37" t="s">
        <v>331</v>
      </c>
      <c r="C34" s="27">
        <v>1977</v>
      </c>
      <c r="D34" s="28">
        <v>59400</v>
      </c>
      <c r="E34" s="29">
        <v>1</v>
      </c>
      <c r="F34" s="28">
        <v>59400</v>
      </c>
      <c r="G34" s="21" t="s">
        <v>324</v>
      </c>
      <c r="H34" s="28">
        <v>1190</v>
      </c>
      <c r="I34" s="28">
        <v>48790</v>
      </c>
      <c r="J34" s="30">
        <v>41</v>
      </c>
      <c r="K34" s="30">
        <v>9</v>
      </c>
    </row>
    <row r="35" spans="1:11" ht="14" thickBot="1">
      <c r="A35" s="26" t="s">
        <v>332</v>
      </c>
      <c r="B35" s="37" t="s">
        <v>333</v>
      </c>
      <c r="C35" s="27" t="s">
        <v>286</v>
      </c>
      <c r="D35" s="28">
        <v>10000</v>
      </c>
      <c r="E35" s="29">
        <v>1</v>
      </c>
      <c r="F35" s="28">
        <v>10000</v>
      </c>
      <c r="G35" s="21" t="s">
        <v>324</v>
      </c>
      <c r="H35" s="28">
        <v>200</v>
      </c>
      <c r="I35" s="28">
        <v>8400</v>
      </c>
      <c r="J35" s="30" t="s">
        <v>286</v>
      </c>
      <c r="K35" s="30">
        <v>8</v>
      </c>
    </row>
    <row r="36" spans="1:11" ht="14" thickBot="1">
      <c r="A36" s="22">
        <v>4.8</v>
      </c>
      <c r="B36" s="23" t="s">
        <v>334</v>
      </c>
      <c r="C36" s="31"/>
      <c r="D36" s="32"/>
      <c r="E36" s="33"/>
      <c r="F36" s="32"/>
      <c r="G36" s="24"/>
      <c r="H36" s="32"/>
      <c r="I36" s="34"/>
      <c r="J36" s="35"/>
      <c r="K36" s="36"/>
    </row>
    <row r="37" spans="1:11">
      <c r="A37" s="26" t="s">
        <v>335</v>
      </c>
      <c r="B37" s="37" t="s">
        <v>336</v>
      </c>
      <c r="C37" s="27">
        <v>2011</v>
      </c>
      <c r="D37" s="28">
        <v>264960</v>
      </c>
      <c r="E37" s="29">
        <v>0.5</v>
      </c>
      <c r="F37" s="28">
        <v>132480</v>
      </c>
      <c r="G37" s="21" t="s">
        <v>337</v>
      </c>
      <c r="H37" s="28">
        <v>5300</v>
      </c>
      <c r="I37" s="28">
        <v>37100</v>
      </c>
      <c r="J37" s="30">
        <v>7</v>
      </c>
      <c r="K37" s="30">
        <v>7</v>
      </c>
    </row>
    <row r="38" spans="1:11">
      <c r="A38" s="26" t="s">
        <v>338</v>
      </c>
      <c r="B38" s="37" t="s">
        <v>339</v>
      </c>
      <c r="C38" s="27" t="s">
        <v>286</v>
      </c>
      <c r="D38" s="28">
        <v>127450</v>
      </c>
      <c r="E38" s="29">
        <v>0.2</v>
      </c>
      <c r="F38" s="28">
        <v>25490</v>
      </c>
      <c r="G38" s="21" t="s">
        <v>340</v>
      </c>
      <c r="H38" s="28">
        <v>510</v>
      </c>
      <c r="I38" s="28">
        <v>20910</v>
      </c>
      <c r="J38" s="30" t="s">
        <v>286</v>
      </c>
      <c r="K38" s="30">
        <v>9</v>
      </c>
    </row>
    <row r="39" spans="1:11">
      <c r="A39" s="26" t="s">
        <v>341</v>
      </c>
      <c r="B39" s="37" t="s">
        <v>342</v>
      </c>
      <c r="C39" s="27" t="s">
        <v>286</v>
      </c>
      <c r="D39" s="28">
        <v>40180</v>
      </c>
      <c r="E39" s="29">
        <v>1</v>
      </c>
      <c r="F39" s="28">
        <v>40180</v>
      </c>
      <c r="G39" s="21" t="s">
        <v>343</v>
      </c>
      <c r="H39" s="28">
        <v>1340</v>
      </c>
      <c r="I39" s="28">
        <v>29480</v>
      </c>
      <c r="J39" s="30" t="s">
        <v>286</v>
      </c>
      <c r="K39" s="30">
        <v>8</v>
      </c>
    </row>
    <row r="40" spans="1:11">
      <c r="A40" s="26" t="s">
        <v>344</v>
      </c>
      <c r="B40" s="37" t="s">
        <v>345</v>
      </c>
      <c r="C40" s="27">
        <v>2016</v>
      </c>
      <c r="D40" s="28">
        <v>7800</v>
      </c>
      <c r="E40" s="29">
        <v>1</v>
      </c>
      <c r="F40" s="28">
        <v>7800</v>
      </c>
      <c r="G40" s="21" t="s">
        <v>280</v>
      </c>
      <c r="H40" s="28">
        <v>230</v>
      </c>
      <c r="I40" s="28">
        <v>460</v>
      </c>
      <c r="J40" s="30">
        <v>2</v>
      </c>
      <c r="K40" s="30">
        <v>40</v>
      </c>
    </row>
    <row r="41" spans="1:11">
      <c r="A41" s="26" t="s">
        <v>346</v>
      </c>
      <c r="B41" s="37" t="s">
        <v>347</v>
      </c>
      <c r="C41" s="27" t="s">
        <v>286</v>
      </c>
      <c r="D41" s="28">
        <v>10000</v>
      </c>
      <c r="E41" s="29">
        <v>1</v>
      </c>
      <c r="F41" s="28">
        <v>10000</v>
      </c>
      <c r="G41" s="21" t="s">
        <v>348</v>
      </c>
      <c r="H41" s="28">
        <v>400</v>
      </c>
      <c r="I41" s="28">
        <v>6400</v>
      </c>
      <c r="J41" s="30" t="s">
        <v>286</v>
      </c>
      <c r="K41" s="30">
        <v>9</v>
      </c>
    </row>
    <row r="42" spans="1:11">
      <c r="A42" s="26" t="s">
        <v>349</v>
      </c>
      <c r="B42" s="37" t="s">
        <v>350</v>
      </c>
      <c r="C42" s="27">
        <v>2006</v>
      </c>
      <c r="D42" s="28">
        <v>10000</v>
      </c>
      <c r="E42" s="29">
        <v>1</v>
      </c>
      <c r="F42" s="28">
        <v>10000</v>
      </c>
      <c r="G42" s="21" t="s">
        <v>310</v>
      </c>
      <c r="H42" s="28">
        <v>500</v>
      </c>
      <c r="I42" s="28">
        <v>6000</v>
      </c>
      <c r="J42" s="30">
        <v>12</v>
      </c>
      <c r="K42" s="30">
        <v>8</v>
      </c>
    </row>
    <row r="43" spans="1:11" ht="14" thickBot="1">
      <c r="A43" s="26" t="s">
        <v>351</v>
      </c>
      <c r="B43" s="37" t="s">
        <v>352</v>
      </c>
      <c r="C43" s="27" t="s">
        <v>353</v>
      </c>
      <c r="D43" s="28">
        <v>13190</v>
      </c>
      <c r="E43" s="29">
        <v>1</v>
      </c>
      <c r="F43" s="28">
        <v>13190</v>
      </c>
      <c r="G43" s="21" t="s">
        <v>265</v>
      </c>
      <c r="H43" s="28">
        <v>880</v>
      </c>
      <c r="I43" s="28">
        <v>7040</v>
      </c>
      <c r="J43" s="30" t="s">
        <v>353</v>
      </c>
      <c r="K43" s="30">
        <v>7</v>
      </c>
    </row>
    <row r="44" spans="1:11" ht="14" thickBot="1">
      <c r="A44" s="22">
        <v>4.9000000000000004</v>
      </c>
      <c r="B44" s="23" t="s">
        <v>354</v>
      </c>
      <c r="C44" s="31"/>
      <c r="D44" s="32"/>
      <c r="E44" s="33"/>
      <c r="F44" s="32"/>
      <c r="G44" s="24"/>
      <c r="H44" s="32"/>
      <c r="I44" s="34"/>
      <c r="J44" s="35"/>
      <c r="K44" s="36"/>
    </row>
    <row r="45" spans="1:11" ht="14" thickBot="1">
      <c r="A45" s="26" t="s">
        <v>355</v>
      </c>
      <c r="B45" s="37" t="s">
        <v>356</v>
      </c>
      <c r="C45" s="27">
        <v>2018</v>
      </c>
      <c r="D45" s="28">
        <v>6000</v>
      </c>
      <c r="E45" s="29">
        <v>1</v>
      </c>
      <c r="F45" s="28">
        <v>6000</v>
      </c>
      <c r="G45" s="21" t="s">
        <v>357</v>
      </c>
      <c r="H45" s="28">
        <v>1200</v>
      </c>
      <c r="I45" s="28">
        <v>0</v>
      </c>
      <c r="J45" s="30">
        <v>0</v>
      </c>
      <c r="K45" s="30">
        <v>5</v>
      </c>
    </row>
    <row r="46" spans="1:11" ht="14" thickBot="1">
      <c r="A46" s="38">
        <v>4.0999999999999996</v>
      </c>
      <c r="B46" s="23" t="s">
        <v>358</v>
      </c>
      <c r="C46" s="31"/>
      <c r="D46" s="32"/>
      <c r="E46" s="33"/>
      <c r="F46" s="32"/>
      <c r="G46" s="24"/>
      <c r="H46" s="32"/>
      <c r="I46" s="34"/>
      <c r="J46" s="35"/>
      <c r="K46" s="36"/>
    </row>
    <row r="47" spans="1:11">
      <c r="A47" s="44" t="s">
        <v>359</v>
      </c>
      <c r="B47" s="45" t="s">
        <v>360</v>
      </c>
      <c r="C47" s="46" t="s">
        <v>286</v>
      </c>
      <c r="D47" s="47">
        <v>232580</v>
      </c>
      <c r="E47" s="48">
        <v>0.01</v>
      </c>
      <c r="F47" s="47">
        <v>2510</v>
      </c>
      <c r="G47" s="49" t="s">
        <v>361</v>
      </c>
      <c r="H47" s="47">
        <v>2510</v>
      </c>
      <c r="I47" s="47">
        <v>2510</v>
      </c>
      <c r="J47" s="50" t="s">
        <v>286</v>
      </c>
      <c r="K47" s="51">
        <v>0</v>
      </c>
    </row>
    <row r="48" spans="1:11">
      <c r="A48" s="26" t="s">
        <v>362</v>
      </c>
      <c r="B48" s="39" t="s">
        <v>363</v>
      </c>
      <c r="C48" s="27">
        <v>1977</v>
      </c>
      <c r="D48" s="28"/>
      <c r="E48" s="29"/>
      <c r="F48" s="28"/>
      <c r="G48" s="21" t="s">
        <v>364</v>
      </c>
      <c r="H48" s="28"/>
      <c r="I48" s="40"/>
      <c r="J48" s="30"/>
      <c r="K48" s="41"/>
    </row>
    <row r="49" spans="1:11">
      <c r="A49" s="26" t="s">
        <v>365</v>
      </c>
      <c r="B49" s="17" t="s">
        <v>366</v>
      </c>
      <c r="C49" s="27" t="s">
        <v>286</v>
      </c>
      <c r="D49" s="28"/>
      <c r="E49" s="29"/>
      <c r="F49" s="28"/>
      <c r="G49" s="21" t="s">
        <v>367</v>
      </c>
      <c r="H49" s="28"/>
      <c r="I49" s="40"/>
      <c r="J49" s="30"/>
      <c r="K49" s="41"/>
    </row>
    <row r="50" spans="1:11">
      <c r="A50" s="26" t="s">
        <v>368</v>
      </c>
      <c r="B50" s="17" t="s">
        <v>369</v>
      </c>
      <c r="C50" s="27" t="s">
        <v>286</v>
      </c>
      <c r="D50" s="28"/>
      <c r="E50" s="29"/>
      <c r="F50" s="28"/>
      <c r="G50" s="21" t="s">
        <v>357</v>
      </c>
      <c r="H50" s="28"/>
      <c r="I50" s="40"/>
      <c r="J50" s="30"/>
      <c r="K50" s="41"/>
    </row>
    <row r="51" spans="1:11">
      <c r="A51" s="26" t="s">
        <v>370</v>
      </c>
      <c r="B51" s="17" t="s">
        <v>371</v>
      </c>
      <c r="C51" s="27" t="s">
        <v>286</v>
      </c>
      <c r="D51" s="28"/>
      <c r="E51" s="29"/>
      <c r="F51" s="28"/>
      <c r="G51" s="21" t="s">
        <v>372</v>
      </c>
      <c r="H51" s="28"/>
      <c r="I51" s="40"/>
      <c r="J51" s="30"/>
      <c r="K51" s="41"/>
    </row>
    <row r="52" spans="1:11">
      <c r="A52" s="26" t="s">
        <v>373</v>
      </c>
      <c r="B52" s="17" t="s">
        <v>374</v>
      </c>
      <c r="C52" s="27" t="s">
        <v>286</v>
      </c>
      <c r="D52" s="28"/>
      <c r="E52" s="29"/>
      <c r="F52" s="28"/>
      <c r="G52" s="21" t="s">
        <v>283</v>
      </c>
      <c r="H52" s="28"/>
      <c r="I52" s="40"/>
      <c r="J52" s="30"/>
      <c r="K52" s="41"/>
    </row>
    <row r="53" spans="1:11">
      <c r="D53" s="40"/>
      <c r="F53" s="40"/>
      <c r="H53" s="40"/>
      <c r="I53" s="40"/>
    </row>
    <row r="54" spans="1:11">
      <c r="D54" s="40"/>
      <c r="F54" s="40"/>
      <c r="H54" s="40"/>
      <c r="I54" s="40"/>
    </row>
    <row r="55" spans="1:11">
      <c r="B55" s="42" t="s">
        <v>375</v>
      </c>
      <c r="C55" s="42"/>
      <c r="D55" s="43">
        <f>SUM(D6:D54)</f>
        <v>6273040</v>
      </c>
      <c r="E55" s="42"/>
      <c r="F55" s="43">
        <f>SUM(F6:F54)</f>
        <v>3938250</v>
      </c>
      <c r="G55" s="42"/>
      <c r="H55" s="43">
        <f>SUM(H6:H54)</f>
        <v>153410</v>
      </c>
      <c r="I55" s="43">
        <f>SUM(I5:I54)</f>
        <v>2363530</v>
      </c>
      <c r="J55" s="42"/>
      <c r="K55" s="42"/>
    </row>
  </sheetData>
  <mergeCells count="2">
    <mergeCell ref="A2:K2"/>
    <mergeCell ref="A1:K1"/>
  </mergeCells>
  <phoneticPr fontId="20" type="noConversion"/>
  <pageMargins left="0.51181102362204722" right="0.51181102362204722" top="0.74803149606299213" bottom="0.74803149606299213" header="0.31496062992125984" footer="0.31496062992125984"/>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
  <sheetViews>
    <sheetView showGridLines="0" topLeftCell="A13" workbookViewId="0">
      <selection activeCell="C18" sqref="C18"/>
    </sheetView>
  </sheetViews>
  <sheetFormatPr baseColWidth="10" defaultColWidth="14.5" defaultRowHeight="15.75" customHeight="1"/>
  <cols>
    <col min="1" max="1" width="32.83203125" style="16" customWidth="1"/>
    <col min="2" max="2" width="43.83203125" style="16" customWidth="1"/>
    <col min="3" max="3" width="9" style="16" customWidth="1"/>
    <col min="4" max="16384" width="14.5" style="16"/>
  </cols>
  <sheetData>
    <row r="1" spans="1:3" ht="13.75" customHeight="1">
      <c r="A1" s="327" t="s">
        <v>458</v>
      </c>
      <c r="C1" s="328"/>
    </row>
    <row r="2" spans="1:3" ht="13.75" customHeight="1">
      <c r="A2" s="329">
        <v>2021</v>
      </c>
      <c r="B2" s="330"/>
      <c r="C2" s="331"/>
    </row>
    <row r="3" spans="1:3" ht="13.75" customHeight="1">
      <c r="C3" s="328"/>
    </row>
    <row r="4" spans="1:3" ht="13.75" customHeight="1">
      <c r="A4" s="327" t="s">
        <v>211</v>
      </c>
      <c r="C4" s="328"/>
    </row>
    <row r="5" spans="1:3" ht="13.75" customHeight="1">
      <c r="A5" s="332" t="s">
        <v>212</v>
      </c>
      <c r="B5" s="332" t="s">
        <v>213</v>
      </c>
      <c r="C5" s="328">
        <f>5*10*0.075*12</f>
        <v>45</v>
      </c>
    </row>
    <row r="6" spans="1:3" ht="13.75" customHeight="1">
      <c r="A6" s="332" t="s">
        <v>214</v>
      </c>
      <c r="B6" s="333" t="s">
        <v>459</v>
      </c>
      <c r="C6" s="328">
        <v>280</v>
      </c>
    </row>
    <row r="7" spans="1:3" ht="13.75" customHeight="1">
      <c r="A7" s="332" t="s">
        <v>460</v>
      </c>
      <c r="B7" s="333" t="s">
        <v>461</v>
      </c>
      <c r="C7" s="328">
        <v>30</v>
      </c>
    </row>
    <row r="8" spans="1:3" ht="13.75" customHeight="1">
      <c r="A8" s="332" t="s">
        <v>462</v>
      </c>
      <c r="B8" s="334" t="s">
        <v>215</v>
      </c>
      <c r="C8" s="328">
        <f>7*12</f>
        <v>84</v>
      </c>
    </row>
    <row r="9" spans="1:3" ht="13.75" customHeight="1">
      <c r="B9" s="335" t="s">
        <v>216</v>
      </c>
      <c r="C9" s="336">
        <f>SUM(C5:C8)</f>
        <v>439</v>
      </c>
    </row>
    <row r="10" spans="1:3" ht="13.75" customHeight="1">
      <c r="C10" s="328"/>
    </row>
    <row r="11" spans="1:3" ht="13.75" customHeight="1">
      <c r="A11" s="329">
        <v>2022</v>
      </c>
      <c r="B11" s="330"/>
      <c r="C11" s="331"/>
    </row>
    <row r="12" spans="1:3" ht="13.75" customHeight="1">
      <c r="C12" s="328"/>
    </row>
    <row r="13" spans="1:3" ht="13.75" customHeight="1">
      <c r="A13" s="327" t="s">
        <v>211</v>
      </c>
      <c r="C13" s="328"/>
    </row>
    <row r="14" spans="1:3" ht="13.75" customHeight="1">
      <c r="A14" s="332" t="s">
        <v>212</v>
      </c>
      <c r="B14" s="332" t="s">
        <v>213</v>
      </c>
      <c r="C14" s="328">
        <f>5*10*0.075*12</f>
        <v>45</v>
      </c>
    </row>
    <row r="15" spans="1:3" ht="13.75" customHeight="1">
      <c r="A15" s="332" t="s">
        <v>214</v>
      </c>
      <c r="B15" s="333" t="s">
        <v>463</v>
      </c>
      <c r="C15" s="328">
        <v>300</v>
      </c>
    </row>
    <row r="16" spans="1:3" ht="13.75" customHeight="1">
      <c r="A16" s="332" t="s">
        <v>460</v>
      </c>
      <c r="B16" s="333" t="s">
        <v>461</v>
      </c>
      <c r="C16" s="328">
        <v>30</v>
      </c>
    </row>
    <row r="17" spans="1:3" ht="13.75" customHeight="1">
      <c r="A17" s="332" t="s">
        <v>462</v>
      </c>
      <c r="B17" s="334" t="s">
        <v>217</v>
      </c>
      <c r="C17" s="328">
        <f>8*12</f>
        <v>96</v>
      </c>
    </row>
    <row r="18" spans="1:3" ht="13.75" customHeight="1">
      <c r="B18" s="335" t="s">
        <v>216</v>
      </c>
      <c r="C18" s="336">
        <f>SUM(C14:C17)</f>
        <v>471</v>
      </c>
    </row>
    <row r="19" spans="1:3" ht="13.75" customHeight="1"/>
    <row r="20" spans="1:3" ht="13.75" customHeight="1">
      <c r="A20" s="329">
        <v>2023</v>
      </c>
      <c r="B20" s="330"/>
      <c r="C20" s="331"/>
    </row>
    <row r="21" spans="1:3" ht="13.75" customHeight="1">
      <c r="C21" s="328"/>
    </row>
    <row r="22" spans="1:3" ht="13.75" customHeight="1">
      <c r="A22" s="327" t="s">
        <v>211</v>
      </c>
      <c r="C22" s="328"/>
    </row>
    <row r="23" spans="1:3" ht="13.75" customHeight="1">
      <c r="A23" s="332" t="s">
        <v>212</v>
      </c>
      <c r="B23" s="332" t="s">
        <v>213</v>
      </c>
      <c r="C23" s="328">
        <f>5*10*0.075*12</f>
        <v>45</v>
      </c>
    </row>
    <row r="24" spans="1:3" ht="13.75" customHeight="1">
      <c r="A24" s="332" t="s">
        <v>214</v>
      </c>
      <c r="B24" s="333" t="s">
        <v>463</v>
      </c>
      <c r="C24" s="328">
        <v>300</v>
      </c>
    </row>
    <row r="25" spans="1:3" ht="13.75" customHeight="1">
      <c r="A25" s="332" t="s">
        <v>460</v>
      </c>
      <c r="B25" s="333" t="s">
        <v>461</v>
      </c>
      <c r="C25" s="328">
        <v>30</v>
      </c>
    </row>
    <row r="26" spans="1:3" ht="13.75" customHeight="1">
      <c r="A26" s="332" t="s">
        <v>462</v>
      </c>
      <c r="B26" s="334" t="s">
        <v>217</v>
      </c>
      <c r="C26" s="328">
        <f>8*12</f>
        <v>96</v>
      </c>
    </row>
    <row r="27" spans="1:3" ht="13.75" customHeight="1">
      <c r="B27" s="335" t="s">
        <v>216</v>
      </c>
      <c r="C27" s="336">
        <f>SUM(C23:C26)</f>
        <v>471</v>
      </c>
    </row>
  </sheetData>
  <phoneticPr fontId="20" type="noConversion"/>
  <hyperlinks>
    <hyperlink ref="B7" r:id="rId1" xr:uid="{CE7A6CBF-3A82-4456-83B2-923A79CEAF7E}"/>
    <hyperlink ref="B16" r:id="rId2" xr:uid="{14F4A413-A561-4F73-A845-ADC3C6AF0C77}"/>
    <hyperlink ref="B25" r:id="rId3" xr:uid="{3711633B-DB77-4CF5-BAD0-CB701F8124D9}"/>
  </hyperlinks>
  <pageMargins left="0.7" right="0.7" top="0.75" bottom="0.75" header="0.3" footer="0.3"/>
  <pageSetup orientation="portrait" r:id="rId4"/>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0AE0-6F0A-46EF-83AF-100903F321C2}">
  <dimension ref="A1:F95"/>
  <sheetViews>
    <sheetView topLeftCell="A85" workbookViewId="0">
      <selection activeCell="C101" sqref="C101"/>
    </sheetView>
  </sheetViews>
  <sheetFormatPr baseColWidth="10" defaultColWidth="16.5" defaultRowHeight="15"/>
  <cols>
    <col min="1" max="1" width="32.33203125" style="358" customWidth="1"/>
    <col min="2" max="2" width="23.33203125" style="358" customWidth="1"/>
    <col min="3" max="4" width="11" style="358" customWidth="1"/>
    <col min="5" max="5" width="15.83203125" style="358" customWidth="1"/>
    <col min="6" max="6" width="54.83203125" style="358" customWidth="1"/>
    <col min="7" max="16384" width="16.5" style="358"/>
  </cols>
  <sheetData>
    <row r="1" spans="1:6" ht="17" customHeight="1">
      <c r="A1" s="337" t="s">
        <v>466</v>
      </c>
      <c r="B1" s="338"/>
      <c r="C1" s="338"/>
      <c r="D1" s="359"/>
      <c r="E1" s="379"/>
      <c r="F1" s="379"/>
    </row>
    <row r="2" spans="1:6" ht="17" customHeight="1">
      <c r="A2" s="337" t="s">
        <v>467</v>
      </c>
      <c r="B2" s="338"/>
      <c r="C2" s="338"/>
      <c r="D2" s="359"/>
      <c r="E2" s="379"/>
      <c r="F2" s="379"/>
    </row>
    <row r="3" spans="1:6" ht="17" customHeight="1">
      <c r="A3" s="337"/>
      <c r="B3" s="338"/>
      <c r="C3" s="338"/>
      <c r="D3" s="359"/>
      <c r="E3" s="379"/>
      <c r="F3" s="379"/>
    </row>
    <row r="4" spans="1:6" ht="17" customHeight="1">
      <c r="A4" s="337" t="s">
        <v>483</v>
      </c>
      <c r="B4" s="338"/>
      <c r="C4" s="338"/>
      <c r="D4" s="359"/>
      <c r="E4" s="379"/>
      <c r="F4" s="379"/>
    </row>
    <row r="5" spans="1:6" ht="17" customHeight="1">
      <c r="A5" s="345"/>
      <c r="B5" s="338"/>
      <c r="C5" s="338"/>
      <c r="D5" s="359"/>
      <c r="E5" s="379"/>
      <c r="F5" s="379"/>
    </row>
    <row r="6" spans="1:6" ht="17" customHeight="1">
      <c r="A6" s="361" t="s">
        <v>484</v>
      </c>
      <c r="B6" s="362"/>
      <c r="C6" s="361" t="s">
        <v>485</v>
      </c>
      <c r="D6" s="359"/>
      <c r="E6" s="379"/>
      <c r="F6" s="379"/>
    </row>
    <row r="7" spans="1:6" ht="17" customHeight="1">
      <c r="A7" s="345" t="s">
        <v>486</v>
      </c>
      <c r="B7" s="346"/>
      <c r="C7" s="340"/>
      <c r="D7" s="348"/>
      <c r="E7" s="379"/>
      <c r="F7" s="379"/>
    </row>
    <row r="8" spans="1:6" ht="17" customHeight="1">
      <c r="A8" s="345" t="s">
        <v>487</v>
      </c>
      <c r="B8" s="345" t="s">
        <v>488</v>
      </c>
      <c r="C8" s="340">
        <v>25000</v>
      </c>
      <c r="D8" s="348"/>
      <c r="E8" s="379"/>
      <c r="F8" s="379"/>
    </row>
    <row r="9" spans="1:6" ht="27.5" customHeight="1">
      <c r="A9" s="345" t="s">
        <v>489</v>
      </c>
      <c r="B9" s="345" t="s">
        <v>490</v>
      </c>
      <c r="C9" s="340">
        <v>8000</v>
      </c>
      <c r="D9" s="348"/>
      <c r="E9" s="379"/>
      <c r="F9" s="379"/>
    </row>
    <row r="10" spans="1:6" ht="31" customHeight="1">
      <c r="A10" s="345" t="s">
        <v>491</v>
      </c>
      <c r="B10" s="345" t="s">
        <v>488</v>
      </c>
      <c r="C10" s="340">
        <v>112765</v>
      </c>
      <c r="D10" s="348"/>
      <c r="E10" s="379"/>
      <c r="F10" s="379"/>
    </row>
    <row r="11" spans="1:6" ht="17" customHeight="1">
      <c r="A11" s="361"/>
      <c r="B11" s="361" t="s">
        <v>492</v>
      </c>
      <c r="C11" s="356">
        <f>SUM(C7:C10)</f>
        <v>145765</v>
      </c>
      <c r="D11" s="359"/>
      <c r="E11" s="379"/>
      <c r="F11" s="379"/>
    </row>
    <row r="12" spans="1:6" ht="17" customHeight="1">
      <c r="A12" s="337"/>
      <c r="B12" s="338"/>
      <c r="C12" s="344"/>
      <c r="D12" s="359"/>
      <c r="E12" s="379"/>
      <c r="F12" s="379"/>
    </row>
    <row r="13" spans="1:6" ht="17" customHeight="1">
      <c r="A13" s="337"/>
      <c r="B13" s="338"/>
      <c r="C13" s="344"/>
      <c r="D13" s="359"/>
      <c r="E13" s="379"/>
      <c r="F13" s="379"/>
    </row>
    <row r="14" spans="1:6" ht="17" customHeight="1">
      <c r="A14" s="361" t="s">
        <v>211</v>
      </c>
      <c r="B14" s="363"/>
      <c r="C14" s="361" t="s">
        <v>485</v>
      </c>
      <c r="D14" s="348"/>
      <c r="E14" s="379"/>
      <c r="F14" s="379"/>
    </row>
    <row r="15" spans="1:6" ht="17" customHeight="1">
      <c r="A15" s="364" t="s">
        <v>474</v>
      </c>
      <c r="B15" s="346"/>
      <c r="C15" s="340">
        <f>E37</f>
        <v>45473.4</v>
      </c>
      <c r="D15" s="348"/>
      <c r="E15" s="379"/>
      <c r="F15" s="379"/>
    </row>
    <row r="16" spans="1:6" ht="17" customHeight="1">
      <c r="A16" s="364" t="s">
        <v>477</v>
      </c>
      <c r="B16" s="346"/>
      <c r="C16" s="340">
        <f>D52+D70</f>
        <v>169669.815</v>
      </c>
      <c r="D16" s="348"/>
      <c r="E16" s="379"/>
      <c r="F16" s="379"/>
    </row>
    <row r="17" spans="1:6" ht="17" customHeight="1">
      <c r="A17" s="364" t="s">
        <v>493</v>
      </c>
      <c r="B17" s="346"/>
      <c r="C17" s="340">
        <f>D60</f>
        <v>34335</v>
      </c>
      <c r="D17" s="348"/>
      <c r="E17" s="379"/>
      <c r="F17" s="379"/>
    </row>
    <row r="18" spans="1:6" ht="17" customHeight="1">
      <c r="A18" s="364" t="s">
        <v>494</v>
      </c>
      <c r="B18" s="346"/>
      <c r="C18" s="340">
        <f>C82</f>
        <v>29925</v>
      </c>
      <c r="D18" s="348"/>
      <c r="E18" s="379"/>
      <c r="F18" s="379"/>
    </row>
    <row r="19" spans="1:6" ht="17" customHeight="1">
      <c r="A19" s="361"/>
      <c r="B19" s="361" t="s">
        <v>495</v>
      </c>
      <c r="C19" s="356">
        <f>SUM(C15:C18)</f>
        <v>279403.21499999997</v>
      </c>
      <c r="D19" s="359"/>
      <c r="E19" s="379"/>
      <c r="F19" s="379"/>
    </row>
    <row r="20" spans="1:6" ht="17" customHeight="1">
      <c r="A20" s="337"/>
      <c r="B20" s="338"/>
      <c r="C20" s="344"/>
      <c r="D20" s="359"/>
      <c r="E20" s="379"/>
      <c r="F20" s="379"/>
    </row>
    <row r="21" spans="1:6" ht="27.5" customHeight="1">
      <c r="A21" s="361"/>
      <c r="B21" s="361" t="s">
        <v>496</v>
      </c>
      <c r="C21" s="356">
        <f>C11-C19</f>
        <v>-133638.21499999997</v>
      </c>
      <c r="D21" s="359"/>
      <c r="E21" s="379"/>
      <c r="F21" s="379"/>
    </row>
    <row r="22" spans="1:6" ht="17" customHeight="1">
      <c r="A22" s="337"/>
      <c r="B22" s="338"/>
      <c r="C22" s="338"/>
      <c r="D22" s="359"/>
      <c r="E22" s="379"/>
      <c r="F22" s="379"/>
    </row>
    <row r="23" spans="1:6" ht="17" customHeight="1">
      <c r="A23" s="337"/>
      <c r="B23" s="338"/>
      <c r="C23" s="338"/>
      <c r="D23" s="359"/>
      <c r="E23" s="379"/>
      <c r="F23" s="379"/>
    </row>
    <row r="24" spans="1:6" ht="17" customHeight="1">
      <c r="A24" s="337"/>
      <c r="B24" s="338"/>
      <c r="C24" s="338"/>
      <c r="D24" s="359"/>
      <c r="E24" s="379"/>
      <c r="F24" s="379"/>
    </row>
    <row r="25" spans="1:6" ht="17" customHeight="1">
      <c r="A25" s="337" t="s">
        <v>497</v>
      </c>
      <c r="B25" s="338"/>
      <c r="C25" s="338"/>
      <c r="D25" s="359"/>
      <c r="E25" s="379"/>
      <c r="F25" s="379"/>
    </row>
    <row r="26" spans="1:6" ht="17" customHeight="1">
      <c r="A26" s="337"/>
      <c r="B26" s="338"/>
      <c r="C26" s="338"/>
      <c r="D26" s="359"/>
      <c r="E26" s="379"/>
      <c r="F26" s="379"/>
    </row>
    <row r="27" spans="1:6" ht="17" customHeight="1">
      <c r="A27" s="384" t="s">
        <v>468</v>
      </c>
      <c r="B27" s="385" t="s">
        <v>469</v>
      </c>
      <c r="C27" s="385" t="s">
        <v>470</v>
      </c>
      <c r="D27" s="385" t="s">
        <v>471</v>
      </c>
      <c r="E27" s="385" t="s">
        <v>472</v>
      </c>
      <c r="F27" s="385" t="s">
        <v>473</v>
      </c>
    </row>
    <row r="28" spans="1:6" ht="17" customHeight="1">
      <c r="A28" s="339" t="s">
        <v>474</v>
      </c>
      <c r="B28" s="340"/>
      <c r="C28" s="340"/>
      <c r="D28" s="341"/>
      <c r="E28" s="341"/>
      <c r="F28" s="341"/>
    </row>
    <row r="29" spans="1:6" ht="17" customHeight="1">
      <c r="A29" s="342" t="s">
        <v>498</v>
      </c>
      <c r="B29" s="340"/>
      <c r="C29" s="340">
        <v>864</v>
      </c>
      <c r="D29" s="341"/>
      <c r="E29" s="341">
        <v>864</v>
      </c>
      <c r="F29" s="341"/>
    </row>
    <row r="30" spans="1:6" ht="17" customHeight="1">
      <c r="A30" s="343" t="s">
        <v>499</v>
      </c>
      <c r="B30" s="340"/>
      <c r="C30" s="340">
        <v>4644</v>
      </c>
      <c r="D30" s="341"/>
      <c r="E30" s="341">
        <v>4644</v>
      </c>
      <c r="F30" s="341"/>
    </row>
    <row r="31" spans="1:6" ht="17" customHeight="1">
      <c r="A31" s="342" t="s">
        <v>500</v>
      </c>
      <c r="B31" s="340"/>
      <c r="C31" s="340">
        <v>4752</v>
      </c>
      <c r="D31" s="341"/>
      <c r="E31" s="341">
        <v>4752</v>
      </c>
      <c r="F31" s="341"/>
    </row>
    <row r="32" spans="1:6" ht="17" customHeight="1">
      <c r="A32" s="343" t="s">
        <v>501</v>
      </c>
      <c r="B32" s="340"/>
      <c r="C32" s="340">
        <v>13932</v>
      </c>
      <c r="D32" s="341"/>
      <c r="E32" s="341">
        <v>13932</v>
      </c>
      <c r="F32" s="341"/>
    </row>
    <row r="33" spans="1:6" ht="17" customHeight="1">
      <c r="A33" s="342" t="s">
        <v>502</v>
      </c>
      <c r="B33" s="340"/>
      <c r="C33" s="340">
        <v>4968</v>
      </c>
      <c r="D33" s="341"/>
      <c r="E33" s="341">
        <v>4968</v>
      </c>
      <c r="F33" s="341"/>
    </row>
    <row r="34" spans="1:6" ht="17" customHeight="1">
      <c r="A34" s="343" t="s">
        <v>503</v>
      </c>
      <c r="B34" s="340"/>
      <c r="C34" s="340">
        <v>9504</v>
      </c>
      <c r="D34" s="341"/>
      <c r="E34" s="341">
        <v>9504</v>
      </c>
      <c r="F34" s="341"/>
    </row>
    <row r="35" spans="1:6" ht="17" customHeight="1">
      <c r="A35" s="342" t="s">
        <v>504</v>
      </c>
      <c r="B35" s="340"/>
      <c r="C35" s="340">
        <v>4644</v>
      </c>
      <c r="D35" s="341"/>
      <c r="E35" s="341">
        <v>4644</v>
      </c>
      <c r="F35" s="341"/>
    </row>
    <row r="36" spans="1:6" ht="17" customHeight="1">
      <c r="A36" s="343" t="s">
        <v>505</v>
      </c>
      <c r="B36" s="340"/>
      <c r="C36" s="365">
        <f>SUM(C29:C35)*0.05</f>
        <v>2165.4</v>
      </c>
      <c r="D36" s="341"/>
      <c r="E36" s="366">
        <f>SUM(E29:E35)*0.05</f>
        <v>2165.4</v>
      </c>
      <c r="F36" s="341"/>
    </row>
    <row r="37" spans="1:6" ht="17" customHeight="1">
      <c r="A37" s="352" t="s">
        <v>475</v>
      </c>
      <c r="B37" s="353"/>
      <c r="C37" s="367">
        <f>SUM(C29:C36)</f>
        <v>45473.4</v>
      </c>
      <c r="D37" s="354"/>
      <c r="E37" s="368">
        <f>SUM(E29:E36)</f>
        <v>45473.4</v>
      </c>
      <c r="F37" s="354"/>
    </row>
    <row r="38" spans="1:6" ht="17" customHeight="1">
      <c r="A38" s="345"/>
      <c r="B38" s="346"/>
      <c r="C38" s="346"/>
      <c r="D38" s="341"/>
      <c r="E38" s="379"/>
      <c r="F38" s="379"/>
    </row>
    <row r="39" spans="1:6" ht="17" customHeight="1">
      <c r="A39" s="386" t="s">
        <v>476</v>
      </c>
      <c r="B39" s="385" t="s">
        <v>469</v>
      </c>
      <c r="C39" s="386" t="s">
        <v>470</v>
      </c>
      <c r="D39" s="385" t="s">
        <v>471</v>
      </c>
      <c r="E39" s="385" t="s">
        <v>472</v>
      </c>
      <c r="F39" s="385" t="s">
        <v>473</v>
      </c>
    </row>
    <row r="40" spans="1:6" ht="17" customHeight="1">
      <c r="A40" s="339" t="s">
        <v>477</v>
      </c>
      <c r="B40" s="340"/>
      <c r="C40" s="340"/>
      <c r="D40" s="348"/>
      <c r="E40" s="379"/>
      <c r="F40" s="379"/>
    </row>
    <row r="41" spans="1:6" ht="23" customHeight="1">
      <c r="A41" s="347" t="s">
        <v>506</v>
      </c>
      <c r="B41" s="340"/>
      <c r="C41" s="340">
        <f>700</f>
        <v>700</v>
      </c>
      <c r="D41" s="340">
        <f>'[2]Sheet 2 - UM Workplan extension'!I4</f>
        <v>700</v>
      </c>
      <c r="E41" s="379"/>
      <c r="F41" s="379"/>
    </row>
    <row r="42" spans="1:6" ht="23" customHeight="1">
      <c r="A42" s="347" t="s">
        <v>507</v>
      </c>
      <c r="B42" s="348"/>
      <c r="C42" s="348">
        <f>6900</f>
        <v>6900</v>
      </c>
      <c r="D42" s="348">
        <f>'[2]Sheet 2 - UM Workplan extension'!I5</f>
        <v>10575</v>
      </c>
      <c r="E42" s="379"/>
      <c r="F42" s="379"/>
    </row>
    <row r="43" spans="1:6" ht="23" customHeight="1">
      <c r="A43" s="347" t="s">
        <v>508</v>
      </c>
      <c r="B43" s="348"/>
      <c r="C43" s="348">
        <f>5400</f>
        <v>5400</v>
      </c>
      <c r="D43" s="348">
        <f>'[2]Sheet 2 - UM Workplan extension'!I6</f>
        <v>9820</v>
      </c>
      <c r="E43" s="379"/>
      <c r="F43" s="379"/>
    </row>
    <row r="44" spans="1:6" ht="23" customHeight="1">
      <c r="A44" s="347" t="s">
        <v>509</v>
      </c>
      <c r="B44" s="348"/>
      <c r="C44" s="348">
        <f>8500</f>
        <v>8500</v>
      </c>
      <c r="D44" s="348">
        <f>'[2]Sheet 2 - UM Workplan extension'!I7</f>
        <v>5900</v>
      </c>
      <c r="E44" s="379"/>
      <c r="F44" s="379"/>
    </row>
    <row r="45" spans="1:6" ht="23" customHeight="1">
      <c r="A45" s="347" t="s">
        <v>510</v>
      </c>
      <c r="B45" s="348"/>
      <c r="C45" s="348">
        <f>5800</f>
        <v>5800</v>
      </c>
      <c r="D45" s="348">
        <f>'[2]Sheet 2 - UM Workplan extension'!I8</f>
        <v>16980</v>
      </c>
      <c r="E45" s="379"/>
      <c r="F45" s="379"/>
    </row>
    <row r="46" spans="1:6" ht="23" customHeight="1">
      <c r="A46" s="347" t="s">
        <v>511</v>
      </c>
      <c r="B46" s="348"/>
      <c r="C46" s="348">
        <f>4600</f>
        <v>4600</v>
      </c>
      <c r="D46" s="348">
        <f>'[2]Sheet 2 - UM Workplan extension'!I9</f>
        <v>7330</v>
      </c>
      <c r="E46" s="379"/>
      <c r="F46" s="379"/>
    </row>
    <row r="47" spans="1:6" ht="23" customHeight="1">
      <c r="A47" s="347" t="s">
        <v>512</v>
      </c>
      <c r="B47" s="348"/>
      <c r="C47" s="348">
        <f>51600</f>
        <v>51600</v>
      </c>
      <c r="D47" s="348">
        <f>'[2]Sheet 2 - UM Workplan extension'!I10</f>
        <v>57772</v>
      </c>
      <c r="E47" s="379"/>
      <c r="F47" s="379"/>
    </row>
    <row r="48" spans="1:6" ht="23" customHeight="1">
      <c r="A48" s="347" t="s">
        <v>513</v>
      </c>
      <c r="B48" s="348"/>
      <c r="C48" s="348">
        <f>13700</f>
        <v>13700</v>
      </c>
      <c r="D48" s="348">
        <f>'[2]Sheet 2 - UM Workplan extension'!I11</f>
        <v>17930</v>
      </c>
      <c r="E48" s="379"/>
      <c r="F48" s="379"/>
    </row>
    <row r="49" spans="1:6" ht="37" customHeight="1">
      <c r="A49" s="347" t="s">
        <v>514</v>
      </c>
      <c r="B49" s="348"/>
      <c r="C49" s="348">
        <f>50700</f>
        <v>50700</v>
      </c>
      <c r="D49" s="348">
        <f>'[2]Sheet 2 - UM Workplan extension'!I12</f>
        <v>22995</v>
      </c>
      <c r="E49" s="379"/>
      <c r="F49" s="379"/>
    </row>
    <row r="50" spans="1:6" ht="37" customHeight="1">
      <c r="A50" s="347" t="s">
        <v>515</v>
      </c>
      <c r="B50" s="348"/>
      <c r="C50" s="348">
        <f>9400</f>
        <v>9400</v>
      </c>
      <c r="D50" s="348">
        <f>'[2]Sheet 2 - UM Workplan extension'!I13</f>
        <v>7298.3</v>
      </c>
      <c r="E50" s="379"/>
      <c r="F50" s="379"/>
    </row>
    <row r="51" spans="1:6" ht="17" customHeight="1">
      <c r="A51" s="343" t="s">
        <v>505</v>
      </c>
      <c r="B51" s="340"/>
      <c r="C51" s="340">
        <f>SUM(C41:C50)*0.05</f>
        <v>7865</v>
      </c>
      <c r="D51" s="340">
        <f>SUM(D41:D50)*0.05</f>
        <v>7865.0149999999994</v>
      </c>
      <c r="E51" s="379"/>
      <c r="F51" s="379"/>
    </row>
    <row r="52" spans="1:6" ht="17" customHeight="1">
      <c r="A52" s="355" t="s">
        <v>478</v>
      </c>
      <c r="B52" s="356"/>
      <c r="C52" s="356">
        <f>SUM(C41:C51)</f>
        <v>165165</v>
      </c>
      <c r="D52" s="356">
        <f>SUM(D41:D51)</f>
        <v>165165.315</v>
      </c>
      <c r="E52" s="357"/>
      <c r="F52" s="379"/>
    </row>
    <row r="53" spans="1:6" ht="17" customHeight="1">
      <c r="A53" s="349"/>
      <c r="B53" s="346"/>
      <c r="C53" s="346"/>
      <c r="D53" s="348"/>
      <c r="E53" s="379"/>
      <c r="F53" s="379"/>
    </row>
    <row r="54" spans="1:6" ht="17" customHeight="1">
      <c r="A54" s="339" t="s">
        <v>493</v>
      </c>
      <c r="B54" s="340"/>
      <c r="C54" s="340"/>
      <c r="D54" s="348"/>
      <c r="E54" s="379"/>
      <c r="F54" s="379"/>
    </row>
    <row r="55" spans="1:6" ht="23" customHeight="1">
      <c r="A55" s="347" t="s">
        <v>508</v>
      </c>
      <c r="B55" s="348"/>
      <c r="C55" s="348">
        <v>0</v>
      </c>
      <c r="D55" s="348">
        <v>6600</v>
      </c>
      <c r="E55" s="379"/>
      <c r="F55" s="379"/>
    </row>
    <row r="56" spans="1:6" ht="23" customHeight="1">
      <c r="A56" s="347" t="s">
        <v>509</v>
      </c>
      <c r="B56" s="348"/>
      <c r="C56" s="348">
        <v>0</v>
      </c>
      <c r="D56" s="348">
        <v>4700</v>
      </c>
      <c r="E56" s="379"/>
      <c r="F56" s="379"/>
    </row>
    <row r="57" spans="1:6" ht="37" customHeight="1">
      <c r="A57" s="347" t="s">
        <v>539</v>
      </c>
      <c r="B57" s="348"/>
      <c r="C57" s="348">
        <v>0</v>
      </c>
      <c r="D57" s="348">
        <v>15000</v>
      </c>
      <c r="E57" s="379"/>
      <c r="F57" s="379"/>
    </row>
    <row r="58" spans="1:6" ht="37" customHeight="1">
      <c r="A58" s="347" t="s">
        <v>515</v>
      </c>
      <c r="B58" s="348"/>
      <c r="C58" s="348">
        <v>0</v>
      </c>
      <c r="D58" s="348">
        <f>6400</f>
        <v>6400</v>
      </c>
      <c r="E58" s="379"/>
      <c r="F58" s="379"/>
    </row>
    <row r="59" spans="1:6" ht="17" customHeight="1">
      <c r="A59" s="343" t="s">
        <v>505</v>
      </c>
      <c r="B59" s="340"/>
      <c r="C59" s="340">
        <v>0</v>
      </c>
      <c r="D59" s="340">
        <f>SUM(D55:D58)*0.05</f>
        <v>1635</v>
      </c>
      <c r="E59" s="379"/>
      <c r="F59" s="379"/>
    </row>
    <row r="60" spans="1:6" ht="17" customHeight="1">
      <c r="A60" s="355" t="s">
        <v>478</v>
      </c>
      <c r="B60" s="356"/>
      <c r="C60" s="356">
        <f>SUM(C55:C59)</f>
        <v>0</v>
      </c>
      <c r="D60" s="356">
        <f>SUM(D55:D59)</f>
        <v>34335</v>
      </c>
      <c r="E60" s="357"/>
      <c r="F60" s="379"/>
    </row>
    <row r="61" spans="1:6" ht="17" customHeight="1">
      <c r="A61" s="349"/>
      <c r="B61" s="346"/>
      <c r="C61" s="346"/>
      <c r="D61" s="348"/>
      <c r="E61" s="379"/>
      <c r="F61" s="379"/>
    </row>
    <row r="62" spans="1:6" ht="17" customHeight="1">
      <c r="A62" s="349"/>
      <c r="B62" s="346"/>
      <c r="C62" s="346"/>
      <c r="D62" s="348"/>
      <c r="E62" s="379"/>
      <c r="F62" s="379"/>
    </row>
    <row r="63" spans="1:6" ht="17" customHeight="1">
      <c r="A63" s="350" t="s">
        <v>221</v>
      </c>
      <c r="B63" s="346"/>
      <c r="C63" s="346"/>
      <c r="D63" s="348"/>
      <c r="E63" s="379"/>
      <c r="F63" s="379"/>
    </row>
    <row r="64" spans="1:6" ht="17" customHeight="1">
      <c r="A64" s="343" t="s">
        <v>516</v>
      </c>
      <c r="B64" s="346"/>
      <c r="C64" s="346">
        <v>5000</v>
      </c>
      <c r="D64" s="348">
        <v>0</v>
      </c>
      <c r="E64" s="379"/>
      <c r="F64" s="379"/>
    </row>
    <row r="65" spans="1:6" ht="17" customHeight="1">
      <c r="A65" s="343" t="s">
        <v>517</v>
      </c>
      <c r="B65" s="346"/>
      <c r="C65" s="346">
        <v>500</v>
      </c>
      <c r="D65" s="348">
        <v>0</v>
      </c>
      <c r="E65" s="379"/>
      <c r="F65" s="379"/>
    </row>
    <row r="66" spans="1:6" ht="44.5" customHeight="1">
      <c r="A66" s="343" t="s">
        <v>518</v>
      </c>
      <c r="B66" s="346"/>
      <c r="C66" s="346">
        <v>5000</v>
      </c>
      <c r="D66" s="348">
        <v>0</v>
      </c>
      <c r="E66" s="379"/>
      <c r="F66" s="379"/>
    </row>
    <row r="67" spans="1:6" ht="17" customHeight="1">
      <c r="A67" s="343" t="s">
        <v>519</v>
      </c>
      <c r="B67" s="346"/>
      <c r="C67" s="346">
        <v>1800</v>
      </c>
      <c r="D67" s="348">
        <v>1890</v>
      </c>
      <c r="E67" s="379"/>
      <c r="F67" s="379"/>
    </row>
    <row r="68" spans="1:6" ht="17" customHeight="1">
      <c r="A68" s="343" t="s">
        <v>520</v>
      </c>
      <c r="B68" s="346"/>
      <c r="C68" s="346">
        <v>3000</v>
      </c>
      <c r="D68" s="348">
        <v>2400</v>
      </c>
      <c r="E68" s="379"/>
      <c r="F68" s="379"/>
    </row>
    <row r="69" spans="1:6" ht="17" customHeight="1">
      <c r="A69" s="343" t="s">
        <v>505</v>
      </c>
      <c r="B69" s="340"/>
      <c r="C69" s="340">
        <f>SUM(C64:C68)*0.05</f>
        <v>765</v>
      </c>
      <c r="D69" s="340">
        <f>SUM(D64:D68)*0.05</f>
        <v>214.5</v>
      </c>
      <c r="E69" s="379"/>
      <c r="F69" s="379"/>
    </row>
    <row r="70" spans="1:6" ht="17" customHeight="1">
      <c r="A70" s="355" t="s">
        <v>478</v>
      </c>
      <c r="B70" s="356"/>
      <c r="C70" s="356">
        <f>SUM(C64:C69)</f>
        <v>16065</v>
      </c>
      <c r="D70" s="356">
        <f>SUM(D64:D69)</f>
        <v>4504.5</v>
      </c>
      <c r="E70" s="357"/>
      <c r="F70" s="379"/>
    </row>
    <row r="71" spans="1:6" ht="17" customHeight="1">
      <c r="A71" s="379"/>
      <c r="B71" s="338"/>
      <c r="C71" s="338"/>
      <c r="D71" s="359"/>
      <c r="E71" s="379"/>
      <c r="F71" s="379"/>
    </row>
    <row r="72" spans="1:6" ht="17" customHeight="1">
      <c r="A72" s="352" t="s">
        <v>479</v>
      </c>
      <c r="B72" s="353"/>
      <c r="C72" s="353">
        <f>C52+C60+C70</f>
        <v>181230</v>
      </c>
      <c r="D72" s="353">
        <f>D52+D60+D70</f>
        <v>204004.815</v>
      </c>
      <c r="E72" s="353"/>
      <c r="F72" s="344"/>
    </row>
    <row r="73" spans="1:6" ht="17" customHeight="1">
      <c r="A73" s="379"/>
      <c r="B73" s="346"/>
      <c r="C73" s="346"/>
      <c r="D73" s="348"/>
      <c r="E73" s="379"/>
      <c r="F73" s="379"/>
    </row>
    <row r="74" spans="1:6" ht="17" customHeight="1">
      <c r="A74" s="379"/>
      <c r="B74" s="346"/>
      <c r="C74" s="346"/>
      <c r="D74" s="348"/>
      <c r="E74" s="379"/>
      <c r="F74" s="379"/>
    </row>
    <row r="75" spans="1:6" ht="17" customHeight="1">
      <c r="A75" s="386" t="s">
        <v>480</v>
      </c>
      <c r="B75" s="385" t="s">
        <v>469</v>
      </c>
      <c r="C75" s="386" t="s">
        <v>470</v>
      </c>
      <c r="D75" s="385" t="s">
        <v>471</v>
      </c>
      <c r="E75" s="385" t="s">
        <v>472</v>
      </c>
      <c r="F75" s="360"/>
    </row>
    <row r="76" spans="1:6" ht="17" customHeight="1">
      <c r="A76" s="350" t="s">
        <v>481</v>
      </c>
      <c r="B76" s="346"/>
      <c r="C76" s="346"/>
      <c r="D76" s="348"/>
      <c r="E76" s="379"/>
      <c r="F76" s="369"/>
    </row>
    <row r="77" spans="1:6" ht="17" customHeight="1">
      <c r="A77" s="339" t="s">
        <v>494</v>
      </c>
      <c r="B77" s="346"/>
      <c r="C77" s="346"/>
      <c r="D77" s="348"/>
      <c r="E77" s="379"/>
      <c r="F77" s="379"/>
    </row>
    <row r="78" spans="1:6" ht="37" customHeight="1">
      <c r="A78" s="347" t="s">
        <v>521</v>
      </c>
      <c r="B78" s="346"/>
      <c r="C78" s="346">
        <v>1700</v>
      </c>
      <c r="D78" s="348"/>
      <c r="E78" s="379"/>
      <c r="F78" s="379"/>
    </row>
    <row r="79" spans="1:6" ht="37" customHeight="1">
      <c r="A79" s="347" t="s">
        <v>522</v>
      </c>
      <c r="B79" s="346"/>
      <c r="C79" s="346">
        <v>11800</v>
      </c>
      <c r="D79" s="348"/>
      <c r="E79" s="379"/>
      <c r="F79" s="379"/>
    </row>
    <row r="80" spans="1:6" ht="23" customHeight="1">
      <c r="A80" s="347" t="s">
        <v>523</v>
      </c>
      <c r="B80" s="340"/>
      <c r="C80" s="340">
        <v>15000</v>
      </c>
      <c r="D80" s="340"/>
      <c r="E80" s="379"/>
      <c r="F80" s="379"/>
    </row>
    <row r="81" spans="1:6" ht="17" customHeight="1">
      <c r="A81" s="343" t="s">
        <v>505</v>
      </c>
      <c r="B81" s="340"/>
      <c r="C81" s="340">
        <f>SUM(C78:C80)*0.05</f>
        <v>1425</v>
      </c>
      <c r="D81" s="340"/>
      <c r="E81" s="379"/>
      <c r="F81" s="379"/>
    </row>
    <row r="82" spans="1:6" ht="17" customHeight="1">
      <c r="A82" s="355" t="s">
        <v>478</v>
      </c>
      <c r="B82" s="356"/>
      <c r="C82" s="356">
        <f>SUM(C77:C81)</f>
        <v>29925</v>
      </c>
      <c r="D82" s="356">
        <f>SUM(D76:D81)</f>
        <v>0</v>
      </c>
      <c r="E82" s="357"/>
      <c r="F82" s="379"/>
    </row>
    <row r="83" spans="1:6" ht="17" customHeight="1">
      <c r="A83" s="379"/>
      <c r="B83" s="346"/>
      <c r="C83" s="346"/>
      <c r="D83" s="348"/>
      <c r="E83" s="379"/>
      <c r="F83" s="379"/>
    </row>
    <row r="84" spans="1:6" ht="17" customHeight="1">
      <c r="A84" s="350" t="s">
        <v>221</v>
      </c>
      <c r="B84" s="346"/>
      <c r="C84" s="346"/>
      <c r="D84" s="348"/>
      <c r="E84" s="379"/>
      <c r="F84" s="369"/>
    </row>
    <row r="85" spans="1:6" ht="25" customHeight="1">
      <c r="A85" s="343" t="s">
        <v>516</v>
      </c>
      <c r="B85" s="380"/>
      <c r="C85" s="346">
        <v>30000</v>
      </c>
      <c r="D85" s="348"/>
      <c r="E85" s="379"/>
      <c r="F85" s="382" t="s">
        <v>540</v>
      </c>
    </row>
    <row r="86" spans="1:6" ht="31" customHeight="1">
      <c r="A86" s="343" t="s">
        <v>541</v>
      </c>
      <c r="B86" s="346"/>
      <c r="C86" s="346">
        <v>5000</v>
      </c>
      <c r="D86" s="348"/>
      <c r="E86" s="379"/>
      <c r="F86" s="382" t="s">
        <v>542</v>
      </c>
    </row>
    <row r="87" spans="1:6" ht="36" customHeight="1">
      <c r="A87" s="343" t="s">
        <v>543</v>
      </c>
      <c r="B87" s="345" t="s">
        <v>544</v>
      </c>
      <c r="C87" s="346">
        <v>25000</v>
      </c>
      <c r="D87" s="348"/>
      <c r="E87" s="379"/>
      <c r="F87" s="382" t="s">
        <v>545</v>
      </c>
    </row>
    <row r="88" spans="1:6" ht="17" customHeight="1">
      <c r="A88" s="343" t="s">
        <v>505</v>
      </c>
      <c r="B88" s="346"/>
      <c r="C88" s="346">
        <f>SUM(C85:C87)*0.05</f>
        <v>3000</v>
      </c>
      <c r="D88" s="348"/>
      <c r="E88" s="379"/>
      <c r="F88" s="369"/>
    </row>
    <row r="89" spans="1:6" ht="17" customHeight="1">
      <c r="A89" s="381" t="s">
        <v>478</v>
      </c>
      <c r="B89" s="344"/>
      <c r="C89" s="344">
        <f>SUM(C85:C88)</f>
        <v>63000</v>
      </c>
      <c r="D89" s="344">
        <f>SUM(D82:D87)</f>
        <v>0</v>
      </c>
      <c r="E89" s="379"/>
      <c r="F89" s="369"/>
    </row>
    <row r="90" spans="1:6" ht="17" customHeight="1">
      <c r="A90" s="351"/>
      <c r="B90" s="344"/>
      <c r="C90" s="344"/>
      <c r="D90" s="344"/>
      <c r="E90" s="379"/>
      <c r="F90" s="379"/>
    </row>
    <row r="91" spans="1:6" ht="17" customHeight="1">
      <c r="A91" s="352" t="s">
        <v>482</v>
      </c>
      <c r="B91" s="353"/>
      <c r="C91" s="353">
        <f>C82+C89</f>
        <v>92925</v>
      </c>
      <c r="D91" s="353">
        <f>D82+D89</f>
        <v>0</v>
      </c>
      <c r="E91" s="353"/>
      <c r="F91" s="353"/>
    </row>
    <row r="92" spans="1:6" ht="17" customHeight="1">
      <c r="A92" s="351"/>
      <c r="B92" s="344"/>
      <c r="C92" s="344"/>
      <c r="D92" s="344"/>
      <c r="E92" s="379"/>
      <c r="F92" s="379"/>
    </row>
    <row r="93" spans="1:6" ht="17" customHeight="1">
      <c r="A93" s="370" t="s">
        <v>524</v>
      </c>
      <c r="B93" s="371"/>
      <c r="C93" s="371">
        <f>E37+D72+C82</f>
        <v>279403.21499999997</v>
      </c>
      <c r="D93" s="371"/>
      <c r="E93" s="372"/>
      <c r="F93" s="372"/>
    </row>
    <row r="94" spans="1:6" ht="17" customHeight="1">
      <c r="A94" s="351"/>
      <c r="B94" s="344"/>
      <c r="C94" s="344"/>
      <c r="D94" s="344"/>
      <c r="E94" s="379"/>
      <c r="F94" s="379"/>
    </row>
    <row r="95" spans="1:6">
      <c r="A95" s="383"/>
      <c r="B95" s="383"/>
      <c r="C95" s="383"/>
      <c r="D95" s="383"/>
      <c r="E95" s="383"/>
      <c r="F95" s="383"/>
    </row>
  </sheetData>
  <pageMargins left="0.7" right="0.7" top="0.75" bottom="0.75" header="0.3" footer="0.3"/>
  <pageSetup paperSize="5"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28D81-F15F-47D9-BC98-99376A627680}">
  <dimension ref="A1:F118"/>
  <sheetViews>
    <sheetView topLeftCell="A99" workbookViewId="0">
      <selection activeCell="A98" sqref="A98:A114"/>
    </sheetView>
  </sheetViews>
  <sheetFormatPr baseColWidth="10" defaultColWidth="16.33203125" defaultRowHeight="15"/>
  <cols>
    <col min="1" max="1" width="50.1640625" style="434" customWidth="1"/>
    <col min="2" max="2" width="23.33203125" style="434" customWidth="1"/>
    <col min="3" max="4" width="11" style="434" customWidth="1"/>
    <col min="5" max="5" width="15.83203125" style="434" customWidth="1"/>
    <col min="6" max="6" width="54.83203125" style="434" customWidth="1"/>
    <col min="7" max="16384" width="16.33203125" style="434"/>
  </cols>
  <sheetData>
    <row r="1" spans="1:6" ht="17" customHeight="1">
      <c r="A1" s="430" t="s">
        <v>466</v>
      </c>
      <c r="B1" s="431"/>
      <c r="C1" s="431"/>
      <c r="D1" s="432"/>
      <c r="E1" s="433"/>
      <c r="F1" s="433"/>
    </row>
    <row r="2" spans="1:6" ht="17" customHeight="1">
      <c r="A2" s="430" t="s">
        <v>467</v>
      </c>
      <c r="B2" s="431"/>
      <c r="C2" s="431"/>
      <c r="D2" s="432"/>
      <c r="E2" s="433"/>
      <c r="F2" s="433"/>
    </row>
    <row r="3" spans="1:6" ht="17" customHeight="1">
      <c r="A3" s="430"/>
      <c r="B3" s="431"/>
      <c r="C3" s="431"/>
      <c r="D3" s="432"/>
      <c r="E3" s="433"/>
      <c r="F3" s="433"/>
    </row>
    <row r="4" spans="1:6" ht="17" customHeight="1">
      <c r="A4" s="430" t="s">
        <v>483</v>
      </c>
      <c r="B4" s="431"/>
      <c r="C4" s="431"/>
      <c r="D4" s="432"/>
      <c r="E4" s="433"/>
      <c r="F4" s="433"/>
    </row>
    <row r="5" spans="1:6" ht="17" customHeight="1">
      <c r="A5" s="435"/>
      <c r="B5" s="431"/>
      <c r="C5" s="431"/>
      <c r="D5" s="432"/>
      <c r="E5" s="433"/>
      <c r="F5" s="433"/>
    </row>
    <row r="6" spans="1:6" ht="17" customHeight="1">
      <c r="A6" s="436" t="s">
        <v>484</v>
      </c>
      <c r="B6" s="437"/>
      <c r="C6" s="438" t="s">
        <v>485</v>
      </c>
      <c r="D6" s="432"/>
      <c r="E6" s="433"/>
      <c r="F6" s="433"/>
    </row>
    <row r="7" spans="1:6" ht="17" customHeight="1">
      <c r="A7" s="435" t="s">
        <v>486</v>
      </c>
      <c r="B7" s="433"/>
      <c r="C7" s="439"/>
      <c r="D7" s="440"/>
      <c r="E7" s="433"/>
      <c r="F7" s="433"/>
    </row>
    <row r="8" spans="1:6" ht="17" customHeight="1">
      <c r="A8" s="435" t="s">
        <v>487</v>
      </c>
      <c r="B8" s="441" t="s">
        <v>488</v>
      </c>
      <c r="C8" s="439">
        <v>25000</v>
      </c>
      <c r="D8" s="440"/>
      <c r="E8" s="433"/>
      <c r="F8" s="433"/>
    </row>
    <row r="9" spans="1:6" ht="17" customHeight="1">
      <c r="A9" s="435" t="s">
        <v>489</v>
      </c>
      <c r="B9" s="441" t="s">
        <v>490</v>
      </c>
      <c r="C9" s="439">
        <v>8000</v>
      </c>
      <c r="D9" s="440"/>
      <c r="E9" s="433"/>
      <c r="F9" s="433"/>
    </row>
    <row r="10" spans="1:6" ht="17" customHeight="1">
      <c r="A10" s="435" t="s">
        <v>491</v>
      </c>
      <c r="B10" s="441" t="s">
        <v>488</v>
      </c>
      <c r="C10" s="439">
        <v>112765</v>
      </c>
      <c r="D10" s="440"/>
      <c r="E10" s="433"/>
      <c r="F10" s="433"/>
    </row>
    <row r="11" spans="1:6" ht="17" customHeight="1">
      <c r="A11" s="436"/>
      <c r="B11" s="438" t="s">
        <v>492</v>
      </c>
      <c r="C11" s="442">
        <f>SUM(C7:C10)</f>
        <v>145765</v>
      </c>
      <c r="D11" s="432"/>
      <c r="E11" s="433"/>
      <c r="F11" s="433"/>
    </row>
    <row r="12" spans="1:6" ht="17" customHeight="1">
      <c r="A12" s="430"/>
      <c r="B12" s="431"/>
      <c r="C12" s="443"/>
      <c r="D12" s="432"/>
      <c r="E12" s="433"/>
      <c r="F12" s="433"/>
    </row>
    <row r="13" spans="1:6" ht="17" customHeight="1">
      <c r="A13" s="430"/>
      <c r="B13" s="431"/>
      <c r="C13" s="443"/>
      <c r="D13" s="432"/>
      <c r="E13" s="433"/>
      <c r="F13" s="433"/>
    </row>
    <row r="14" spans="1:6" ht="17" customHeight="1">
      <c r="A14" s="436" t="s">
        <v>211</v>
      </c>
      <c r="B14" s="444"/>
      <c r="C14" s="438" t="s">
        <v>485</v>
      </c>
      <c r="D14" s="440"/>
      <c r="E14" s="433"/>
      <c r="F14" s="433"/>
    </row>
    <row r="15" spans="1:6" ht="17" customHeight="1">
      <c r="A15" s="435" t="s">
        <v>474</v>
      </c>
      <c r="B15" s="433"/>
      <c r="C15" s="439">
        <f>E37</f>
        <v>45473.4</v>
      </c>
      <c r="D15" s="440"/>
      <c r="E15" s="433"/>
      <c r="F15" s="433"/>
    </row>
    <row r="16" spans="1:6" ht="17" customHeight="1">
      <c r="A16" s="435" t="s">
        <v>477</v>
      </c>
      <c r="B16" s="433"/>
      <c r="C16" s="439">
        <f>D52+D70</f>
        <v>169669.815</v>
      </c>
      <c r="D16" s="440"/>
      <c r="E16" s="433"/>
      <c r="F16" s="433"/>
    </row>
    <row r="17" spans="1:6" ht="17" customHeight="1">
      <c r="A17" s="435" t="s">
        <v>493</v>
      </c>
      <c r="B17" s="433"/>
      <c r="C17" s="439">
        <f>D60</f>
        <v>34335</v>
      </c>
      <c r="D17" s="440"/>
      <c r="E17" s="433"/>
      <c r="F17" s="433"/>
    </row>
    <row r="18" spans="1:6" ht="17" customHeight="1">
      <c r="A18" s="435" t="s">
        <v>494</v>
      </c>
      <c r="B18" s="433"/>
      <c r="C18" s="439">
        <f>C83</f>
        <v>29925</v>
      </c>
      <c r="D18" s="440"/>
      <c r="E18" s="433"/>
      <c r="F18" s="433"/>
    </row>
    <row r="19" spans="1:6" ht="17" customHeight="1">
      <c r="A19" s="436"/>
      <c r="B19" s="438" t="s">
        <v>495</v>
      </c>
      <c r="C19" s="442">
        <f>SUM(C15:C18)</f>
        <v>279403.21499999997</v>
      </c>
      <c r="D19" s="432"/>
      <c r="E19" s="433"/>
      <c r="F19" s="433"/>
    </row>
    <row r="20" spans="1:6" ht="17" customHeight="1">
      <c r="A20" s="430"/>
      <c r="B20" s="431"/>
      <c r="C20" s="443"/>
      <c r="D20" s="432"/>
      <c r="E20" s="433"/>
      <c r="F20" s="433"/>
    </row>
    <row r="21" spans="1:6" ht="17" customHeight="1">
      <c r="A21" s="436"/>
      <c r="B21" s="438" t="s">
        <v>496</v>
      </c>
      <c r="C21" s="442">
        <f>C11-C19</f>
        <v>-133638.21499999997</v>
      </c>
      <c r="D21" s="432"/>
      <c r="E21" s="433"/>
      <c r="F21" s="433"/>
    </row>
    <row r="22" spans="1:6" ht="17" customHeight="1">
      <c r="A22" s="430"/>
      <c r="B22" s="431"/>
      <c r="C22" s="431"/>
      <c r="D22" s="432"/>
      <c r="E22" s="433"/>
      <c r="F22" s="433"/>
    </row>
    <row r="23" spans="1:6" ht="17" customHeight="1">
      <c r="A23" s="430"/>
      <c r="B23" s="431"/>
      <c r="C23" s="431"/>
      <c r="D23" s="432"/>
      <c r="E23" s="433"/>
      <c r="F23" s="433"/>
    </row>
    <row r="24" spans="1:6" ht="17" customHeight="1">
      <c r="A24" s="430"/>
      <c r="B24" s="431"/>
      <c r="C24" s="431"/>
      <c r="D24" s="432"/>
      <c r="E24" s="433"/>
      <c r="F24" s="433"/>
    </row>
    <row r="25" spans="1:6" ht="17" customHeight="1">
      <c r="A25" s="430" t="s">
        <v>605</v>
      </c>
      <c r="B25" s="431"/>
      <c r="C25" s="431"/>
      <c r="D25" s="432"/>
      <c r="E25" s="433"/>
      <c r="F25" s="433"/>
    </row>
    <row r="26" spans="1:6" ht="17" customHeight="1">
      <c r="A26" s="430"/>
      <c r="B26" s="431"/>
      <c r="C26" s="431"/>
      <c r="D26" s="432"/>
      <c r="E26" s="433"/>
      <c r="F26" s="433"/>
    </row>
    <row r="27" spans="1:6" ht="17" customHeight="1">
      <c r="A27" s="445" t="s">
        <v>468</v>
      </c>
      <c r="B27" s="446" t="s">
        <v>469</v>
      </c>
      <c r="C27" s="447" t="s">
        <v>470</v>
      </c>
      <c r="D27" s="448" t="s">
        <v>471</v>
      </c>
      <c r="E27" s="448" t="s">
        <v>472</v>
      </c>
      <c r="F27" s="448" t="s">
        <v>473</v>
      </c>
    </row>
    <row r="28" spans="1:6" ht="17" customHeight="1">
      <c r="A28" s="435" t="s">
        <v>474</v>
      </c>
      <c r="B28" s="449"/>
      <c r="C28" s="449"/>
      <c r="D28" s="450"/>
      <c r="E28" s="450"/>
      <c r="F28" s="451"/>
    </row>
    <row r="29" spans="1:6" ht="17" customHeight="1">
      <c r="A29" s="452" t="s">
        <v>498</v>
      </c>
      <c r="B29" s="449"/>
      <c r="C29" s="449">
        <v>864</v>
      </c>
      <c r="D29" s="450"/>
      <c r="E29" s="450">
        <v>864</v>
      </c>
      <c r="F29" s="451"/>
    </row>
    <row r="30" spans="1:6" ht="17" customHeight="1">
      <c r="A30" s="452" t="s">
        <v>499</v>
      </c>
      <c r="B30" s="449"/>
      <c r="C30" s="449">
        <v>4644</v>
      </c>
      <c r="D30" s="450"/>
      <c r="E30" s="450">
        <v>4644</v>
      </c>
      <c r="F30" s="451"/>
    </row>
    <row r="31" spans="1:6" ht="17" customHeight="1">
      <c r="A31" s="452" t="s">
        <v>500</v>
      </c>
      <c r="B31" s="449"/>
      <c r="C31" s="449">
        <v>4752</v>
      </c>
      <c r="D31" s="450"/>
      <c r="E31" s="450">
        <v>4752</v>
      </c>
      <c r="F31" s="451"/>
    </row>
    <row r="32" spans="1:6" ht="17" customHeight="1">
      <c r="A32" s="452" t="s">
        <v>501</v>
      </c>
      <c r="B32" s="449"/>
      <c r="C32" s="449">
        <v>13932</v>
      </c>
      <c r="D32" s="450"/>
      <c r="E32" s="450">
        <v>13932</v>
      </c>
      <c r="F32" s="451"/>
    </row>
    <row r="33" spans="1:6" ht="17" customHeight="1">
      <c r="A33" s="452" t="s">
        <v>502</v>
      </c>
      <c r="B33" s="449"/>
      <c r="C33" s="449">
        <v>4968</v>
      </c>
      <c r="D33" s="450"/>
      <c r="E33" s="450">
        <v>4968</v>
      </c>
      <c r="F33" s="451"/>
    </row>
    <row r="34" spans="1:6" ht="17" customHeight="1">
      <c r="A34" s="452" t="s">
        <v>503</v>
      </c>
      <c r="B34" s="449"/>
      <c r="C34" s="449">
        <v>9504</v>
      </c>
      <c r="D34" s="450"/>
      <c r="E34" s="450">
        <v>9504</v>
      </c>
      <c r="F34" s="451"/>
    </row>
    <row r="35" spans="1:6" ht="17" customHeight="1">
      <c r="A35" s="452" t="s">
        <v>504</v>
      </c>
      <c r="B35" s="449"/>
      <c r="C35" s="449">
        <v>4644</v>
      </c>
      <c r="D35" s="450"/>
      <c r="E35" s="450">
        <v>4644</v>
      </c>
      <c r="F35" s="451"/>
    </row>
    <row r="36" spans="1:6" ht="17" customHeight="1">
      <c r="A36" s="452" t="s">
        <v>505</v>
      </c>
      <c r="B36" s="449"/>
      <c r="C36" s="453">
        <f>SUM(C29:C35)*0.05</f>
        <v>2165.4</v>
      </c>
      <c r="D36" s="450"/>
      <c r="E36" s="454">
        <f>SUM(E29:E35)*0.05</f>
        <v>2165.4</v>
      </c>
      <c r="F36" s="451"/>
    </row>
    <row r="37" spans="1:6" ht="17" customHeight="1">
      <c r="A37" s="455" t="s">
        <v>475</v>
      </c>
      <c r="B37" s="456"/>
      <c r="C37" s="457">
        <f>SUM(C29:C36)</f>
        <v>45473.4</v>
      </c>
      <c r="D37" s="458"/>
      <c r="E37" s="459">
        <f>SUM(E29:E36)</f>
        <v>45473.4</v>
      </c>
      <c r="F37" s="458"/>
    </row>
    <row r="38" spans="1:6" ht="17" customHeight="1">
      <c r="A38" s="435"/>
      <c r="B38" s="433"/>
      <c r="C38" s="433"/>
      <c r="D38" s="450"/>
      <c r="E38" s="433"/>
      <c r="F38" s="433"/>
    </row>
    <row r="39" spans="1:6" ht="17" customHeight="1">
      <c r="A39" s="460" t="s">
        <v>476</v>
      </c>
      <c r="B39" s="448" t="s">
        <v>469</v>
      </c>
      <c r="C39" s="461" t="s">
        <v>470</v>
      </c>
      <c r="D39" s="462" t="s">
        <v>471</v>
      </c>
      <c r="E39" s="462" t="s">
        <v>472</v>
      </c>
      <c r="F39" s="462" t="s">
        <v>473</v>
      </c>
    </row>
    <row r="40" spans="1:6" ht="17" customHeight="1">
      <c r="A40" s="435" t="s">
        <v>477</v>
      </c>
      <c r="B40" s="449"/>
      <c r="C40" s="449"/>
      <c r="D40" s="440"/>
      <c r="E40" s="433"/>
      <c r="F40" s="463"/>
    </row>
    <row r="41" spans="1:6" ht="17" customHeight="1">
      <c r="A41" s="464" t="s">
        <v>606</v>
      </c>
      <c r="B41" s="465"/>
      <c r="C41" s="465">
        <f>700</f>
        <v>700</v>
      </c>
      <c r="D41" s="465">
        <f>'[3]Sheet 2'!I4</f>
        <v>700</v>
      </c>
      <c r="E41" s="466">
        <v>700</v>
      </c>
      <c r="F41" s="463"/>
    </row>
    <row r="42" spans="1:6" ht="17" customHeight="1">
      <c r="A42" s="467" t="s">
        <v>607</v>
      </c>
      <c r="B42" s="468"/>
      <c r="C42" s="468">
        <f>6900</f>
        <v>6900</v>
      </c>
      <c r="D42" s="468">
        <f>'[3]Sheet 2'!I5</f>
        <v>10575</v>
      </c>
      <c r="E42" s="469">
        <v>6900</v>
      </c>
      <c r="F42" s="463"/>
    </row>
    <row r="43" spans="1:6" ht="17" customHeight="1">
      <c r="A43" s="467" t="s">
        <v>608</v>
      </c>
      <c r="B43" s="468"/>
      <c r="C43" s="468">
        <f>5400</f>
        <v>5400</v>
      </c>
      <c r="D43" s="468">
        <f>'[3]Sheet 2'!I6</f>
        <v>9820</v>
      </c>
      <c r="E43" s="469">
        <v>5400</v>
      </c>
      <c r="F43" s="463"/>
    </row>
    <row r="44" spans="1:6" ht="17" customHeight="1">
      <c r="A44" s="467" t="s">
        <v>609</v>
      </c>
      <c r="B44" s="468"/>
      <c r="C44" s="468">
        <f>8500</f>
        <v>8500</v>
      </c>
      <c r="D44" s="468">
        <f>'[3]Sheet 2'!I7</f>
        <v>5900</v>
      </c>
      <c r="E44" s="469">
        <v>8500</v>
      </c>
      <c r="F44" s="463"/>
    </row>
    <row r="45" spans="1:6" ht="17" customHeight="1">
      <c r="A45" s="467" t="s">
        <v>610</v>
      </c>
      <c r="B45" s="468"/>
      <c r="C45" s="468">
        <f>5800</f>
        <v>5800</v>
      </c>
      <c r="D45" s="468">
        <f>'[3]Sheet 2'!I8</f>
        <v>16980</v>
      </c>
      <c r="E45" s="469">
        <v>5800</v>
      </c>
      <c r="F45" s="463"/>
    </row>
    <row r="46" spans="1:6" ht="17" customHeight="1">
      <c r="A46" s="467" t="s">
        <v>611</v>
      </c>
      <c r="B46" s="468"/>
      <c r="C46" s="468">
        <f>4600</f>
        <v>4600</v>
      </c>
      <c r="D46" s="468">
        <f>'[3]Sheet 2'!I9</f>
        <v>7330</v>
      </c>
      <c r="E46" s="469">
        <v>4600</v>
      </c>
      <c r="F46" s="463"/>
    </row>
    <row r="47" spans="1:6" ht="17" customHeight="1">
      <c r="A47" s="467" t="s">
        <v>612</v>
      </c>
      <c r="B47" s="468"/>
      <c r="C47" s="468">
        <f>51600</f>
        <v>51600</v>
      </c>
      <c r="D47" s="468">
        <f>'[3]Sheet 2'!I10</f>
        <v>57772</v>
      </c>
      <c r="E47" s="469">
        <v>51600</v>
      </c>
      <c r="F47" s="463"/>
    </row>
    <row r="48" spans="1:6" ht="17" customHeight="1">
      <c r="A48" s="467" t="s">
        <v>613</v>
      </c>
      <c r="B48" s="468"/>
      <c r="C48" s="468">
        <f>13700</f>
        <v>13700</v>
      </c>
      <c r="D48" s="468">
        <f>'[3]Sheet 2'!I11</f>
        <v>17930</v>
      </c>
      <c r="E48" s="469">
        <v>13700</v>
      </c>
      <c r="F48" s="463"/>
    </row>
    <row r="49" spans="1:6" ht="17" customHeight="1">
      <c r="A49" s="467" t="s">
        <v>614</v>
      </c>
      <c r="B49" s="468"/>
      <c r="C49" s="468">
        <f>50700</f>
        <v>50700</v>
      </c>
      <c r="D49" s="468">
        <f>'[3]Sheet 2'!I12</f>
        <v>22995</v>
      </c>
      <c r="E49" s="469">
        <v>50700</v>
      </c>
      <c r="F49" s="463"/>
    </row>
    <row r="50" spans="1:6" ht="17" customHeight="1">
      <c r="A50" s="467" t="s">
        <v>615</v>
      </c>
      <c r="B50" s="468"/>
      <c r="C50" s="468">
        <f>9400</f>
        <v>9400</v>
      </c>
      <c r="D50" s="470">
        <f>'[3]Sheet 2'!I13</f>
        <v>7298.3</v>
      </c>
      <c r="E50" s="469">
        <v>9400</v>
      </c>
      <c r="F50" s="463"/>
    </row>
    <row r="51" spans="1:6" ht="17" customHeight="1">
      <c r="A51" s="471" t="s">
        <v>505</v>
      </c>
      <c r="B51" s="472"/>
      <c r="C51" s="472">
        <f>SUM(C41:C50)*0.05</f>
        <v>7865</v>
      </c>
      <c r="D51" s="449">
        <f>SUM(D41:D50)*0.05</f>
        <v>7865.0149999999994</v>
      </c>
      <c r="E51" s="449">
        <f>SUM(E41:E50)*0.05</f>
        <v>7865</v>
      </c>
      <c r="F51" s="463"/>
    </row>
    <row r="52" spans="1:6" ht="17" customHeight="1">
      <c r="A52" s="473" t="s">
        <v>478</v>
      </c>
      <c r="B52" s="474"/>
      <c r="C52" s="474">
        <f>SUM(C41:C51)</f>
        <v>165165</v>
      </c>
      <c r="D52" s="474">
        <f>SUM(D41:D51)</f>
        <v>165165.315</v>
      </c>
      <c r="E52" s="474">
        <f>SUM(E41:E51)</f>
        <v>165165</v>
      </c>
      <c r="F52" s="463"/>
    </row>
    <row r="53" spans="1:6" ht="17" customHeight="1">
      <c r="A53" s="475"/>
      <c r="B53" s="433"/>
      <c r="C53" s="433"/>
      <c r="D53" s="440"/>
      <c r="E53" s="433"/>
      <c r="F53" s="463"/>
    </row>
    <row r="54" spans="1:6" ht="17" customHeight="1">
      <c r="A54" s="476" t="s">
        <v>616</v>
      </c>
      <c r="B54" s="465"/>
      <c r="C54" s="465"/>
      <c r="D54" s="477"/>
      <c r="E54" s="433"/>
      <c r="F54" s="463"/>
    </row>
    <row r="55" spans="1:6" ht="17" customHeight="1">
      <c r="A55" s="467" t="s">
        <v>608</v>
      </c>
      <c r="B55" s="468"/>
      <c r="C55" s="468">
        <v>0</v>
      </c>
      <c r="D55" s="468">
        <v>6600</v>
      </c>
      <c r="E55" s="469">
        <v>5800</v>
      </c>
      <c r="F55" s="478" t="s">
        <v>617</v>
      </c>
    </row>
    <row r="56" spans="1:6" ht="17" customHeight="1">
      <c r="A56" s="467" t="s">
        <v>609</v>
      </c>
      <c r="B56" s="468"/>
      <c r="C56" s="468">
        <v>0</v>
      </c>
      <c r="D56" s="468">
        <v>4700</v>
      </c>
      <c r="E56" s="469">
        <v>940</v>
      </c>
      <c r="F56" s="478" t="s">
        <v>617</v>
      </c>
    </row>
    <row r="57" spans="1:6" ht="17" customHeight="1">
      <c r="A57" s="467" t="s">
        <v>618</v>
      </c>
      <c r="B57" s="468"/>
      <c r="C57" s="468">
        <v>0</v>
      </c>
      <c r="D57" s="468">
        <v>15000</v>
      </c>
      <c r="E57" s="469">
        <v>15000</v>
      </c>
      <c r="F57" s="478" t="s">
        <v>617</v>
      </c>
    </row>
    <row r="58" spans="1:6" ht="17" customHeight="1">
      <c r="A58" s="467" t="s">
        <v>615</v>
      </c>
      <c r="B58" s="468"/>
      <c r="C58" s="468">
        <v>0</v>
      </c>
      <c r="D58" s="468">
        <f>6400</f>
        <v>6400</v>
      </c>
      <c r="E58" s="469">
        <v>6400</v>
      </c>
      <c r="F58" s="478" t="s">
        <v>617</v>
      </c>
    </row>
    <row r="59" spans="1:6" ht="17" customHeight="1">
      <c r="A59" s="471" t="s">
        <v>505</v>
      </c>
      <c r="B59" s="472"/>
      <c r="C59" s="472">
        <v>0</v>
      </c>
      <c r="D59" s="472">
        <f>SUM(D55:D58)*0.05</f>
        <v>1635</v>
      </c>
      <c r="E59" s="449">
        <f>SUM(E55:E58)*0.05</f>
        <v>1407</v>
      </c>
      <c r="F59" s="478" t="s">
        <v>617</v>
      </c>
    </row>
    <row r="60" spans="1:6" ht="17" customHeight="1">
      <c r="A60" s="473" t="s">
        <v>478</v>
      </c>
      <c r="B60" s="474"/>
      <c r="C60" s="474">
        <f>SUM(C55:C59)</f>
        <v>0</v>
      </c>
      <c r="D60" s="474">
        <f>SUM(D55:D59)</f>
        <v>34335</v>
      </c>
      <c r="E60" s="474">
        <f>SUM(E55:E59)</f>
        <v>29547</v>
      </c>
      <c r="F60" s="478" t="s">
        <v>619</v>
      </c>
    </row>
    <row r="61" spans="1:6" ht="17" customHeight="1">
      <c r="A61" s="475"/>
      <c r="B61" s="433"/>
      <c r="C61" s="433"/>
      <c r="D61" s="440"/>
      <c r="E61" s="433"/>
      <c r="F61" s="463"/>
    </row>
    <row r="62" spans="1:6" ht="17" customHeight="1">
      <c r="A62" s="475"/>
      <c r="B62" s="433"/>
      <c r="C62" s="433"/>
      <c r="D62" s="440"/>
      <c r="E62" s="433"/>
      <c r="F62" s="433"/>
    </row>
    <row r="63" spans="1:6" ht="17" customHeight="1">
      <c r="A63" s="435" t="s">
        <v>221</v>
      </c>
      <c r="B63" s="433"/>
      <c r="C63" s="433"/>
      <c r="D63" s="440"/>
      <c r="E63" s="433"/>
      <c r="F63" s="433"/>
    </row>
    <row r="64" spans="1:6" ht="17" customHeight="1">
      <c r="A64" s="452" t="s">
        <v>516</v>
      </c>
      <c r="B64" s="433"/>
      <c r="C64" s="466">
        <v>5000</v>
      </c>
      <c r="D64" s="440">
        <v>0</v>
      </c>
      <c r="E64" s="466">
        <v>0</v>
      </c>
      <c r="F64" s="463"/>
    </row>
    <row r="65" spans="1:6" ht="17" customHeight="1">
      <c r="A65" s="452" t="s">
        <v>517</v>
      </c>
      <c r="B65" s="433"/>
      <c r="C65" s="466">
        <v>500</v>
      </c>
      <c r="D65" s="440">
        <v>0</v>
      </c>
      <c r="E65" s="466">
        <v>0</v>
      </c>
      <c r="F65" s="463"/>
    </row>
    <row r="66" spans="1:6" ht="17" customHeight="1">
      <c r="A66" s="452" t="s">
        <v>518</v>
      </c>
      <c r="B66" s="433"/>
      <c r="C66" s="466">
        <v>5000</v>
      </c>
      <c r="D66" s="440">
        <v>0</v>
      </c>
      <c r="E66" s="466">
        <v>0</v>
      </c>
      <c r="F66" s="463"/>
    </row>
    <row r="67" spans="1:6" ht="17" customHeight="1">
      <c r="A67" s="452" t="s">
        <v>519</v>
      </c>
      <c r="B67" s="433"/>
      <c r="C67" s="466">
        <v>1800</v>
      </c>
      <c r="D67" s="440">
        <v>1890</v>
      </c>
      <c r="E67" s="466">
        <v>1890</v>
      </c>
      <c r="F67" s="463"/>
    </row>
    <row r="68" spans="1:6" ht="17" customHeight="1">
      <c r="A68" s="452" t="s">
        <v>520</v>
      </c>
      <c r="B68" s="433"/>
      <c r="C68" s="466">
        <v>3000</v>
      </c>
      <c r="D68" s="440">
        <v>2400</v>
      </c>
      <c r="E68" s="466">
        <v>2400</v>
      </c>
      <c r="F68" s="463"/>
    </row>
    <row r="69" spans="1:6" ht="17" customHeight="1">
      <c r="A69" s="452" t="s">
        <v>505</v>
      </c>
      <c r="B69" s="449"/>
      <c r="C69" s="449">
        <f>SUM(C64:C68)*0.05</f>
        <v>765</v>
      </c>
      <c r="D69" s="449">
        <f>SUM(D64:D68)*0.05</f>
        <v>214.5</v>
      </c>
      <c r="E69" s="449">
        <f>SUM(E64:E68)*0.05</f>
        <v>214.5</v>
      </c>
      <c r="F69" s="463"/>
    </row>
    <row r="70" spans="1:6" ht="17" customHeight="1">
      <c r="A70" s="473" t="s">
        <v>478</v>
      </c>
      <c r="B70" s="474"/>
      <c r="C70" s="474">
        <f>SUM(C64:C69)</f>
        <v>16065</v>
      </c>
      <c r="D70" s="474">
        <f>SUM(D64:D69)</f>
        <v>4504.5</v>
      </c>
      <c r="E70" s="474">
        <f>SUM(E64:E69)</f>
        <v>4504.5</v>
      </c>
      <c r="F70" s="463"/>
    </row>
    <row r="71" spans="1:6" ht="17" customHeight="1">
      <c r="A71" s="475"/>
      <c r="B71" s="431"/>
      <c r="C71" s="431"/>
      <c r="D71" s="432"/>
      <c r="E71" s="433"/>
      <c r="F71" s="433"/>
    </row>
    <row r="72" spans="1:6" ht="17" customHeight="1">
      <c r="A72" s="455" t="s">
        <v>479</v>
      </c>
      <c r="B72" s="456"/>
      <c r="C72" s="456">
        <f>C52+C60+C70</f>
        <v>181230</v>
      </c>
      <c r="D72" s="456">
        <f>D52+D60+D70</f>
        <v>204004.815</v>
      </c>
      <c r="E72" s="456"/>
      <c r="F72" s="456"/>
    </row>
    <row r="73" spans="1:6" ht="17" customHeight="1">
      <c r="A73" s="475"/>
      <c r="B73" s="433"/>
      <c r="C73" s="433"/>
      <c r="D73" s="440"/>
      <c r="E73" s="433"/>
      <c r="F73" s="433"/>
    </row>
    <row r="74" spans="1:6" ht="17" customHeight="1">
      <c r="A74" s="475"/>
      <c r="B74" s="433"/>
      <c r="C74" s="433"/>
      <c r="D74" s="440"/>
      <c r="E74" s="433"/>
      <c r="F74" s="433"/>
    </row>
    <row r="75" spans="1:6" ht="17" customHeight="1">
      <c r="A75" s="460" t="s">
        <v>480</v>
      </c>
      <c r="B75" s="448" t="s">
        <v>469</v>
      </c>
      <c r="C75" s="461" t="s">
        <v>470</v>
      </c>
      <c r="D75" s="462" t="s">
        <v>471</v>
      </c>
      <c r="E75" s="462" t="s">
        <v>472</v>
      </c>
      <c r="F75" s="462"/>
    </row>
    <row r="76" spans="1:6" ht="17" customHeight="1">
      <c r="A76" s="435" t="s">
        <v>481</v>
      </c>
      <c r="B76" s="433"/>
      <c r="C76" s="433"/>
      <c r="D76" s="440"/>
      <c r="E76" s="433"/>
      <c r="F76" s="479"/>
    </row>
    <row r="77" spans="1:6" ht="17" customHeight="1">
      <c r="A77" s="476" t="s">
        <v>494</v>
      </c>
      <c r="B77" s="433"/>
      <c r="C77" s="433"/>
      <c r="D77" s="440"/>
      <c r="E77" s="433"/>
      <c r="F77" s="463"/>
    </row>
    <row r="78" spans="1:6" ht="17" customHeight="1">
      <c r="A78" s="467" t="s">
        <v>620</v>
      </c>
      <c r="B78" s="480"/>
      <c r="C78" s="466">
        <v>1700</v>
      </c>
      <c r="D78" s="440">
        <v>1700</v>
      </c>
      <c r="E78" s="466">
        <v>0</v>
      </c>
      <c r="F78" s="478" t="s">
        <v>617</v>
      </c>
    </row>
    <row r="79" spans="1:6" ht="17" customHeight="1">
      <c r="A79" s="467" t="s">
        <v>621</v>
      </c>
      <c r="B79" s="480"/>
      <c r="C79" s="466">
        <v>11800</v>
      </c>
      <c r="D79" s="440">
        <v>11800</v>
      </c>
      <c r="E79" s="466">
        <v>6540</v>
      </c>
      <c r="F79" s="478" t="s">
        <v>617</v>
      </c>
    </row>
    <row r="80" spans="1:6" ht="17" customHeight="1">
      <c r="A80" s="481" t="s">
        <v>622</v>
      </c>
      <c r="B80" s="482"/>
      <c r="C80" s="449">
        <v>0</v>
      </c>
      <c r="D80" s="449">
        <v>7700</v>
      </c>
      <c r="E80" s="466">
        <v>0</v>
      </c>
      <c r="F80" s="478" t="s">
        <v>617</v>
      </c>
    </row>
    <row r="81" spans="1:6" ht="17" customHeight="1">
      <c r="A81" s="467" t="s">
        <v>523</v>
      </c>
      <c r="B81" s="482"/>
      <c r="C81" s="449">
        <v>15000</v>
      </c>
      <c r="D81" s="449"/>
      <c r="E81" s="466">
        <v>450</v>
      </c>
      <c r="F81" s="478" t="s">
        <v>617</v>
      </c>
    </row>
    <row r="82" spans="1:6" ht="17" customHeight="1">
      <c r="A82" s="471" t="s">
        <v>505</v>
      </c>
      <c r="B82" s="449"/>
      <c r="C82" s="449">
        <f>SUM(C78:C81)*0.05</f>
        <v>1425</v>
      </c>
      <c r="D82" s="449">
        <f>SUM(D78:D81)*0.05</f>
        <v>1060</v>
      </c>
      <c r="E82" s="453">
        <f>SUM(E78:E81)*0.05</f>
        <v>349.5</v>
      </c>
      <c r="F82" s="478" t="s">
        <v>617</v>
      </c>
    </row>
    <row r="83" spans="1:6" ht="17" customHeight="1">
      <c r="A83" s="473" t="s">
        <v>478</v>
      </c>
      <c r="B83" s="474"/>
      <c r="C83" s="474">
        <f>SUM(C77:C82)</f>
        <v>29925</v>
      </c>
      <c r="D83" s="474">
        <f>SUM(D76:D82)</f>
        <v>22260</v>
      </c>
      <c r="E83" s="474">
        <f>SUM(E76:E82)</f>
        <v>7339.5</v>
      </c>
      <c r="F83" s="463"/>
    </row>
    <row r="84" spans="1:6" ht="17" customHeight="1">
      <c r="A84" s="475"/>
      <c r="B84" s="433"/>
      <c r="C84" s="433"/>
      <c r="D84" s="440"/>
      <c r="E84" s="433"/>
      <c r="F84" s="433"/>
    </row>
    <row r="85" spans="1:6" ht="17" customHeight="1">
      <c r="A85" s="435" t="s">
        <v>221</v>
      </c>
      <c r="B85" s="433"/>
      <c r="C85" s="433"/>
      <c r="D85" s="440"/>
      <c r="E85" s="433"/>
      <c r="F85" s="479"/>
    </row>
    <row r="86" spans="1:6" ht="25" customHeight="1">
      <c r="A86" s="452" t="s">
        <v>516</v>
      </c>
      <c r="B86" s="483"/>
      <c r="C86" s="466">
        <v>30000</v>
      </c>
      <c r="D86" s="440"/>
      <c r="E86" s="466">
        <v>0</v>
      </c>
      <c r="F86" s="484" t="s">
        <v>540</v>
      </c>
    </row>
    <row r="87" spans="1:6" ht="25" customHeight="1">
      <c r="A87" s="452" t="s">
        <v>541</v>
      </c>
      <c r="B87" s="433"/>
      <c r="C87" s="466">
        <v>5000</v>
      </c>
      <c r="D87" s="440"/>
      <c r="E87" s="466">
        <v>0</v>
      </c>
      <c r="F87" s="484" t="s">
        <v>542</v>
      </c>
    </row>
    <row r="88" spans="1:6" ht="36" customHeight="1">
      <c r="A88" s="452" t="s">
        <v>543</v>
      </c>
      <c r="B88" s="441" t="s">
        <v>544</v>
      </c>
      <c r="C88" s="466">
        <v>25000</v>
      </c>
      <c r="D88" s="440"/>
      <c r="E88" s="466">
        <v>0</v>
      </c>
      <c r="F88" s="484" t="s">
        <v>545</v>
      </c>
    </row>
    <row r="89" spans="1:6" ht="17" customHeight="1">
      <c r="A89" s="452" t="s">
        <v>505</v>
      </c>
      <c r="B89" s="433"/>
      <c r="C89" s="449">
        <f>SUM(C85:C88)*0.05</f>
        <v>3000</v>
      </c>
      <c r="D89" s="449">
        <f>SUM(D85:D88)*0.05</f>
        <v>0</v>
      </c>
      <c r="E89" s="449">
        <f>SUM(E85:E88)*0.05</f>
        <v>0</v>
      </c>
      <c r="F89" s="479"/>
    </row>
    <row r="90" spans="1:6" ht="17" customHeight="1">
      <c r="A90" s="473" t="s">
        <v>478</v>
      </c>
      <c r="B90" s="474"/>
      <c r="C90" s="474">
        <f>SUM(C86:C89)</f>
        <v>63000</v>
      </c>
      <c r="D90" s="474">
        <f>SUM(D86:D89)</f>
        <v>0</v>
      </c>
      <c r="E90" s="474">
        <f>SUM(E86:E89)</f>
        <v>0</v>
      </c>
      <c r="F90" s="479"/>
    </row>
    <row r="91" spans="1:6" ht="17" customHeight="1">
      <c r="A91" s="485"/>
      <c r="B91" s="443"/>
      <c r="C91" s="443"/>
      <c r="D91" s="443"/>
      <c r="E91" s="433"/>
      <c r="F91" s="433"/>
    </row>
    <row r="92" spans="1:6" ht="17" customHeight="1">
      <c r="A92" s="455" t="s">
        <v>482</v>
      </c>
      <c r="B92" s="456"/>
      <c r="C92" s="456">
        <f>C83+C90</f>
        <v>92925</v>
      </c>
      <c r="D92" s="456">
        <f>D83+D90</f>
        <v>22260</v>
      </c>
      <c r="E92" s="457">
        <f>E83+E90</f>
        <v>7339.5</v>
      </c>
      <c r="F92" s="456"/>
    </row>
    <row r="93" spans="1:6" ht="17" customHeight="1">
      <c r="A93" s="485"/>
      <c r="B93" s="443"/>
      <c r="C93" s="443"/>
      <c r="D93" s="443"/>
      <c r="E93" s="433"/>
      <c r="F93" s="433"/>
    </row>
    <row r="94" spans="1:6" ht="17" customHeight="1">
      <c r="A94" s="485"/>
      <c r="B94" s="443"/>
      <c r="C94" s="443"/>
      <c r="D94" s="443"/>
      <c r="E94" s="433"/>
      <c r="F94" s="433"/>
    </row>
    <row r="95" spans="1:6" ht="17" customHeight="1">
      <c r="A95" s="486" t="s">
        <v>623</v>
      </c>
      <c r="B95" s="487" t="s">
        <v>469</v>
      </c>
      <c r="C95" s="488" t="s">
        <v>470</v>
      </c>
      <c r="D95" s="489" t="s">
        <v>471</v>
      </c>
      <c r="E95" s="489" t="s">
        <v>472</v>
      </c>
      <c r="F95" s="462"/>
    </row>
    <row r="96" spans="1:6" ht="17" customHeight="1">
      <c r="A96" s="490" t="s">
        <v>481</v>
      </c>
      <c r="B96" s="491"/>
      <c r="C96" s="491"/>
      <c r="D96" s="492"/>
      <c r="E96" s="491"/>
      <c r="F96" s="493"/>
    </row>
    <row r="97" spans="1:6" ht="17" customHeight="1">
      <c r="A97" s="494"/>
      <c r="B97" s="491"/>
      <c r="C97" s="491"/>
      <c r="D97" s="492"/>
      <c r="E97" s="491"/>
      <c r="F97" s="495"/>
    </row>
    <row r="98" spans="1:6" ht="17" customHeight="1">
      <c r="A98" s="490" t="s">
        <v>616</v>
      </c>
      <c r="B98" s="496"/>
      <c r="C98" s="496"/>
      <c r="D98" s="492"/>
      <c r="E98" s="491"/>
      <c r="F98" s="497"/>
    </row>
    <row r="99" spans="1:6" ht="17" customHeight="1">
      <c r="A99" s="498" t="s">
        <v>608</v>
      </c>
      <c r="B99" s="492"/>
      <c r="C99" s="492">
        <v>800</v>
      </c>
      <c r="D99" s="492">
        <v>0</v>
      </c>
      <c r="E99" s="499">
        <v>0</v>
      </c>
      <c r="F99" s="497" t="s">
        <v>624</v>
      </c>
    </row>
    <row r="100" spans="1:6" ht="17" customHeight="1">
      <c r="A100" s="498" t="s">
        <v>609</v>
      </c>
      <c r="B100" s="492"/>
      <c r="C100" s="492">
        <v>3760</v>
      </c>
      <c r="D100" s="492">
        <v>0</v>
      </c>
      <c r="E100" s="500">
        <v>0</v>
      </c>
      <c r="F100" s="478" t="s">
        <v>624</v>
      </c>
    </row>
    <row r="101" spans="1:6" ht="17" customHeight="1">
      <c r="A101" s="501"/>
      <c r="B101" s="491"/>
      <c r="C101" s="491"/>
      <c r="D101" s="492"/>
      <c r="E101" s="491"/>
      <c r="F101" s="497"/>
    </row>
    <row r="102" spans="1:6" ht="17" customHeight="1">
      <c r="A102" s="490" t="s">
        <v>494</v>
      </c>
      <c r="B102" s="491"/>
      <c r="C102" s="491"/>
      <c r="D102" s="492"/>
      <c r="E102" s="491"/>
      <c r="F102" s="497"/>
    </row>
    <row r="103" spans="1:6" ht="17" customHeight="1">
      <c r="A103" s="498" t="s">
        <v>620</v>
      </c>
      <c r="B103" s="491"/>
      <c r="C103" s="499">
        <v>1700</v>
      </c>
      <c r="D103" s="492">
        <v>0</v>
      </c>
      <c r="E103" s="500">
        <v>0</v>
      </c>
      <c r="F103" s="478" t="s">
        <v>624</v>
      </c>
    </row>
    <row r="104" spans="1:6" ht="17" customHeight="1">
      <c r="A104" s="498" t="s">
        <v>621</v>
      </c>
      <c r="B104" s="491"/>
      <c r="C104" s="499">
        <v>5260</v>
      </c>
      <c r="D104" s="492">
        <v>0</v>
      </c>
      <c r="E104" s="500">
        <v>0</v>
      </c>
      <c r="F104" s="478" t="s">
        <v>624</v>
      </c>
    </row>
    <row r="105" spans="1:6" ht="17" customHeight="1">
      <c r="A105" s="502" t="s">
        <v>625</v>
      </c>
      <c r="B105" s="496"/>
      <c r="C105" s="496">
        <v>7700</v>
      </c>
      <c r="D105" s="496">
        <v>0</v>
      </c>
      <c r="E105" s="500">
        <v>0</v>
      </c>
      <c r="F105" s="478" t="s">
        <v>624</v>
      </c>
    </row>
    <row r="106" spans="1:6" ht="17" customHeight="1">
      <c r="A106" s="498" t="s">
        <v>523</v>
      </c>
      <c r="B106" s="496"/>
      <c r="C106" s="496">
        <v>14550</v>
      </c>
      <c r="D106" s="496">
        <v>0</v>
      </c>
      <c r="E106" s="500">
        <v>0</v>
      </c>
      <c r="F106" s="478" t="s">
        <v>624</v>
      </c>
    </row>
    <row r="107" spans="1:6" ht="17" customHeight="1">
      <c r="A107" s="503" t="s">
        <v>505</v>
      </c>
      <c r="B107" s="496"/>
      <c r="C107" s="496">
        <f>SUM(C99:C106)*0.05</f>
        <v>1688.5</v>
      </c>
      <c r="D107" s="496">
        <f>SUM(D103:D106)*0.05</f>
        <v>0</v>
      </c>
      <c r="E107" s="504">
        <f>SUM(E103:E106)*0.05</f>
        <v>0</v>
      </c>
      <c r="F107" s="478" t="s">
        <v>624</v>
      </c>
    </row>
    <row r="108" spans="1:6" ht="17" customHeight="1">
      <c r="A108" s="505" t="s">
        <v>478</v>
      </c>
      <c r="B108" s="506"/>
      <c r="C108" s="506">
        <f>SUM(C99:C107)</f>
        <v>35458.5</v>
      </c>
      <c r="D108" s="506">
        <f>SUM(D96:D107)</f>
        <v>0</v>
      </c>
      <c r="E108" s="506">
        <f>SUM(E96:E107)</f>
        <v>0</v>
      </c>
      <c r="F108" s="463"/>
    </row>
    <row r="109" spans="1:6" ht="17" customHeight="1">
      <c r="A109" s="475"/>
      <c r="B109" s="433"/>
      <c r="C109" s="433"/>
      <c r="D109" s="440"/>
      <c r="E109" s="433"/>
      <c r="F109" s="433"/>
    </row>
    <row r="110" spans="1:6" ht="17" customHeight="1">
      <c r="A110" s="435" t="s">
        <v>221</v>
      </c>
      <c r="B110" s="433"/>
      <c r="C110" s="433"/>
      <c r="D110" s="440"/>
      <c r="E110" s="433"/>
      <c r="F110" s="479"/>
    </row>
    <row r="111" spans="1:6" ht="36" customHeight="1">
      <c r="A111" s="452" t="s">
        <v>516</v>
      </c>
      <c r="B111" s="483"/>
      <c r="C111" s="466">
        <v>30000</v>
      </c>
      <c r="D111" s="440">
        <v>0</v>
      </c>
      <c r="E111" s="466">
        <v>0</v>
      </c>
      <c r="F111" s="484" t="s">
        <v>626</v>
      </c>
    </row>
    <row r="112" spans="1:6" ht="36" customHeight="1">
      <c r="A112" s="452" t="s">
        <v>541</v>
      </c>
      <c r="B112" s="433"/>
      <c r="C112" s="466">
        <v>5000</v>
      </c>
      <c r="D112" s="440">
        <v>0</v>
      </c>
      <c r="E112" s="466">
        <v>0</v>
      </c>
      <c r="F112" s="484" t="s">
        <v>627</v>
      </c>
    </row>
    <row r="113" spans="1:6" ht="17" customHeight="1">
      <c r="A113" s="452" t="s">
        <v>628</v>
      </c>
      <c r="B113" s="441"/>
      <c r="C113" s="466">
        <v>5000</v>
      </c>
      <c r="D113" s="440">
        <v>0</v>
      </c>
      <c r="E113" s="466">
        <v>0</v>
      </c>
      <c r="F113" s="484"/>
    </row>
    <row r="114" spans="1:6" ht="17" customHeight="1">
      <c r="A114" s="452" t="s">
        <v>505</v>
      </c>
      <c r="B114" s="433"/>
      <c r="C114" s="449">
        <f>SUM(C110:C113)*0.05</f>
        <v>2000</v>
      </c>
      <c r="D114" s="449">
        <f>SUM(D110:D113)*0.05</f>
        <v>0</v>
      </c>
      <c r="E114" s="449">
        <f>SUM(E110:E113)*0.05</f>
        <v>0</v>
      </c>
      <c r="F114" s="479"/>
    </row>
    <row r="115" spans="1:6" ht="17" customHeight="1">
      <c r="A115" s="473" t="s">
        <v>478</v>
      </c>
      <c r="B115" s="474"/>
      <c r="C115" s="474">
        <f>SUM(C111:C114)</f>
        <v>42000</v>
      </c>
      <c r="D115" s="474">
        <f>SUM(D111:D114)</f>
        <v>0</v>
      </c>
      <c r="E115" s="474">
        <f>SUM(E111:E114)</f>
        <v>0</v>
      </c>
      <c r="F115" s="479"/>
    </row>
    <row r="116" spans="1:6" ht="17" customHeight="1">
      <c r="A116" s="485"/>
      <c r="B116" s="443"/>
      <c r="C116" s="443"/>
      <c r="D116" s="443"/>
      <c r="E116" s="433"/>
      <c r="F116" s="433"/>
    </row>
    <row r="117" spans="1:6" ht="17" customHeight="1">
      <c r="A117" s="485"/>
      <c r="B117" s="443"/>
      <c r="C117" s="443"/>
      <c r="D117" s="443"/>
      <c r="E117" s="433"/>
      <c r="F117" s="433"/>
    </row>
    <row r="118" spans="1:6" ht="17" customHeight="1">
      <c r="A118" s="485"/>
      <c r="B118" s="443"/>
      <c r="C118" s="443"/>
      <c r="D118" s="443"/>
      <c r="E118" s="433"/>
      <c r="F118" s="43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9"/>
  <sheetViews>
    <sheetView showGridLines="0" workbookViewId="0">
      <selection activeCell="E23" sqref="E23"/>
    </sheetView>
  </sheetViews>
  <sheetFormatPr baseColWidth="10" defaultColWidth="9.1640625" defaultRowHeight="15" customHeight="1"/>
  <cols>
    <col min="1" max="1" width="37.1640625" style="16" bestFit="1" customWidth="1"/>
    <col min="2" max="2" width="115.5" style="16" bestFit="1" customWidth="1"/>
    <col min="3" max="3" width="15.33203125" style="16" bestFit="1" customWidth="1"/>
    <col min="4" max="16384" width="9.1640625" style="16"/>
  </cols>
  <sheetData>
    <row r="1" spans="1:3" ht="15" customHeight="1">
      <c r="A1" s="16" t="s">
        <v>559</v>
      </c>
    </row>
    <row r="2" spans="1:3" ht="15" customHeight="1">
      <c r="A2" s="16" t="s">
        <v>560</v>
      </c>
      <c r="B2" s="16" t="s">
        <v>561</v>
      </c>
      <c r="C2" s="16" t="s">
        <v>562</v>
      </c>
    </row>
    <row r="3" spans="1:3" ht="15" customHeight="1">
      <c r="A3" s="16" t="s">
        <v>563</v>
      </c>
      <c r="B3" s="16" t="s">
        <v>564</v>
      </c>
      <c r="C3" s="394">
        <v>125</v>
      </c>
    </row>
    <row r="4" spans="1:3" ht="15" customHeight="1">
      <c r="A4" s="16" t="s">
        <v>565</v>
      </c>
      <c r="B4" s="16" t="s">
        <v>566</v>
      </c>
      <c r="C4" s="394">
        <v>200</v>
      </c>
    </row>
    <row r="5" spans="1:3" ht="15" customHeight="1">
      <c r="A5" s="16" t="s">
        <v>567</v>
      </c>
      <c r="B5" s="16" t="s">
        <v>568</v>
      </c>
      <c r="C5" s="394">
        <v>200</v>
      </c>
    </row>
    <row r="6" spans="1:3" ht="15" customHeight="1">
      <c r="A6" s="16" t="s">
        <v>569</v>
      </c>
      <c r="B6" s="16" t="s">
        <v>570</v>
      </c>
      <c r="C6" s="395">
        <v>200</v>
      </c>
    </row>
    <row r="7" spans="1:3" ht="15" customHeight="1">
      <c r="A7" s="16" t="s">
        <v>571</v>
      </c>
      <c r="B7" s="16" t="s">
        <v>453</v>
      </c>
      <c r="C7" s="394">
        <v>50</v>
      </c>
    </row>
    <row r="8" spans="1:3" ht="15" customHeight="1">
      <c r="A8" s="16" t="s">
        <v>571</v>
      </c>
      <c r="B8" s="16" t="s">
        <v>454</v>
      </c>
      <c r="C8" s="394">
        <v>50</v>
      </c>
    </row>
    <row r="9" spans="1:3" ht="15" customHeight="1">
      <c r="A9" s="16" t="s">
        <v>572</v>
      </c>
      <c r="B9" s="16" t="s">
        <v>573</v>
      </c>
      <c r="C9" s="394">
        <v>50</v>
      </c>
    </row>
    <row r="10" spans="1:3" ht="15" customHeight="1">
      <c r="A10" s="16" t="s">
        <v>574</v>
      </c>
      <c r="B10" s="16" t="s">
        <v>575</v>
      </c>
      <c r="C10" s="394">
        <v>200</v>
      </c>
    </row>
    <row r="11" spans="1:3" ht="15" customHeight="1">
      <c r="B11" s="16" t="s">
        <v>573</v>
      </c>
      <c r="C11" s="394">
        <v>50</v>
      </c>
    </row>
    <row r="12" spans="1:3" ht="15" customHeight="1">
      <c r="A12" s="16" t="s">
        <v>576</v>
      </c>
      <c r="B12" s="16" t="s">
        <v>577</v>
      </c>
      <c r="C12" s="394">
        <v>1000</v>
      </c>
    </row>
    <row r="13" spans="1:3" ht="15" customHeight="1">
      <c r="A13" s="16" t="s">
        <v>578</v>
      </c>
      <c r="B13" s="16" t="s">
        <v>573</v>
      </c>
      <c r="C13" s="394">
        <v>50</v>
      </c>
    </row>
    <row r="14" spans="1:3" ht="15" customHeight="1">
      <c r="A14" s="16" t="s">
        <v>579</v>
      </c>
      <c r="B14" s="16" t="s">
        <v>580</v>
      </c>
      <c r="C14" s="394">
        <v>100</v>
      </c>
    </row>
    <row r="15" spans="1:3" ht="15" customHeight="1">
      <c r="B15" s="16" t="s">
        <v>455</v>
      </c>
      <c r="C15" s="394">
        <v>200</v>
      </c>
    </row>
    <row r="16" spans="1:3" ht="15" customHeight="1">
      <c r="B16" s="16" t="s">
        <v>581</v>
      </c>
      <c r="C16" s="394">
        <v>50</v>
      </c>
    </row>
    <row r="17" spans="1:5" ht="15" customHeight="1">
      <c r="A17" s="16" t="s">
        <v>582</v>
      </c>
    </row>
    <row r="18" spans="1:5" ht="15" customHeight="1">
      <c r="A18" s="16" t="s">
        <v>583</v>
      </c>
      <c r="B18" s="16" t="s">
        <v>584</v>
      </c>
      <c r="C18" s="394">
        <v>1500</v>
      </c>
    </row>
    <row r="19" spans="1:5" ht="15" customHeight="1">
      <c r="B19" s="16" t="s">
        <v>585</v>
      </c>
      <c r="C19" s="394"/>
    </row>
    <row r="20" spans="1:5" ht="15" customHeight="1">
      <c r="B20" s="16" t="s">
        <v>586</v>
      </c>
      <c r="C20" s="394"/>
    </row>
    <row r="21" spans="1:5" ht="15" customHeight="1">
      <c r="A21" s="16" t="s">
        <v>587</v>
      </c>
      <c r="B21" s="16" t="s">
        <v>588</v>
      </c>
      <c r="C21" s="394">
        <v>240</v>
      </c>
    </row>
    <row r="22" spans="1:5" ht="15" customHeight="1">
      <c r="A22" s="16" t="s">
        <v>587</v>
      </c>
      <c r="B22" s="16" t="s">
        <v>589</v>
      </c>
      <c r="C22" s="394">
        <v>150</v>
      </c>
    </row>
    <row r="23" spans="1:5" ht="15" customHeight="1">
      <c r="A23" s="16" t="s">
        <v>69</v>
      </c>
      <c r="C23" s="394">
        <v>650</v>
      </c>
      <c r="E23" s="395"/>
    </row>
    <row r="25" spans="1:5" ht="15" customHeight="1">
      <c r="B25" s="16" t="s">
        <v>210</v>
      </c>
      <c r="C25" s="394">
        <v>4275</v>
      </c>
      <c r="E25" s="394">
        <v>5065</v>
      </c>
    </row>
    <row r="26" spans="1:5" ht="15" customHeight="1">
      <c r="B26" s="16" t="s">
        <v>456</v>
      </c>
      <c r="C26" s="394">
        <v>5065</v>
      </c>
      <c r="E26" s="394">
        <v>5065</v>
      </c>
    </row>
    <row r="27" spans="1:5" ht="15" customHeight="1">
      <c r="B27" s="16" t="s">
        <v>590</v>
      </c>
      <c r="C27" s="394">
        <v>5065</v>
      </c>
    </row>
    <row r="29" spans="1:5" ht="15" customHeight="1">
      <c r="C29" s="394">
        <f>SUM(C3:C23)</f>
        <v>5065</v>
      </c>
    </row>
  </sheetData>
  <phoneticPr fontId="20" type="noConversion"/>
  <pageMargins left="0.7" right="0.7" top="0.75" bottom="0.75" header="0.3" footer="0.3"/>
  <pageSetup orientation="portrait"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1"/>
  <sheetViews>
    <sheetView showGridLines="0" workbookViewId="0">
      <selection activeCell="H15" sqref="H15"/>
    </sheetView>
  </sheetViews>
  <sheetFormatPr baseColWidth="10" defaultColWidth="8.83203125" defaultRowHeight="15" customHeight="1"/>
  <cols>
    <col min="1" max="16384" width="8.83203125" style="1"/>
  </cols>
  <sheetData>
    <row r="1" spans="1:6" ht="13.5" customHeight="1">
      <c r="A1" s="60" t="s">
        <v>190</v>
      </c>
      <c r="B1" s="55"/>
      <c r="C1" s="55"/>
      <c r="D1" s="55"/>
      <c r="E1" s="55"/>
      <c r="F1" s="2"/>
    </row>
    <row r="2" spans="1:6" ht="13.5" customHeight="1">
      <c r="A2" s="55"/>
      <c r="B2" s="55"/>
      <c r="C2" s="55"/>
      <c r="D2" s="55"/>
      <c r="E2" s="55"/>
      <c r="F2" s="2"/>
    </row>
    <row r="3" spans="1:6" ht="13.5" customHeight="1">
      <c r="A3" s="60" t="s">
        <v>191</v>
      </c>
      <c r="B3" s="55"/>
      <c r="C3" s="55"/>
      <c r="D3" s="55"/>
      <c r="E3" s="55"/>
      <c r="F3" s="2"/>
    </row>
    <row r="4" spans="1:6" ht="13.5" customHeight="1">
      <c r="A4" s="60" t="s">
        <v>192</v>
      </c>
      <c r="B4" s="55"/>
      <c r="C4" s="55"/>
      <c r="D4" s="55"/>
      <c r="E4" s="55"/>
      <c r="F4" s="2"/>
    </row>
    <row r="5" spans="1:6" ht="13.5" customHeight="1">
      <c r="A5" s="60" t="s">
        <v>193</v>
      </c>
      <c r="B5" s="55"/>
      <c r="C5" s="55"/>
      <c r="D5" s="55"/>
      <c r="E5" s="55"/>
      <c r="F5" s="2"/>
    </row>
    <row r="6" spans="1:6" ht="13.5" customHeight="1">
      <c r="A6" s="55"/>
      <c r="B6" s="55"/>
      <c r="C6" s="55"/>
      <c r="D6" s="55"/>
      <c r="E6" s="55"/>
      <c r="F6" s="2"/>
    </row>
    <row r="7" spans="1:6" ht="13.5" customHeight="1">
      <c r="A7" s="55"/>
      <c r="B7" s="55"/>
      <c r="C7" s="55"/>
      <c r="D7" s="55"/>
      <c r="E7" s="55"/>
      <c r="F7" s="2"/>
    </row>
    <row r="8" spans="1:6" ht="13.5" customHeight="1">
      <c r="A8" s="55"/>
      <c r="B8" s="55"/>
      <c r="C8" s="55"/>
      <c r="D8" s="55"/>
      <c r="E8" s="55"/>
      <c r="F8" s="2"/>
    </row>
    <row r="9" spans="1:6" ht="13.5" customHeight="1">
      <c r="A9" s="55"/>
      <c r="B9" s="55"/>
      <c r="C9" s="55"/>
      <c r="D9" s="55"/>
      <c r="E9" s="55"/>
      <c r="F9" s="2"/>
    </row>
    <row r="10" spans="1:6" ht="13.5" customHeight="1">
      <c r="A10" s="55"/>
      <c r="B10" s="55"/>
      <c r="C10" s="55"/>
      <c r="D10" s="55"/>
      <c r="E10" s="55"/>
      <c r="F10" s="2"/>
    </row>
    <row r="11" spans="1:6" ht="15" customHeight="1">
      <c r="A11" s="2"/>
      <c r="B11" s="2"/>
      <c r="C11" s="2"/>
      <c r="D11" s="2"/>
      <c r="E11" s="2"/>
      <c r="F11" s="2"/>
    </row>
  </sheetData>
  <phoneticPr fontId="20" type="noConversion"/>
  <pageMargins left="0.7" right="0.7" top="0.75" bottom="0.75" header="0.3" footer="0.3"/>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Balance Sheet</vt:lpstr>
      <vt:lpstr>BUDGET</vt:lpstr>
      <vt:lpstr>NOTES</vt:lpstr>
      <vt:lpstr>Deferred Maintenance</vt:lpstr>
      <vt:lpstr>Communications</vt:lpstr>
      <vt:lpstr>P&amp;D 1</vt:lpstr>
      <vt:lpstr>P&amp;D 2</vt:lpstr>
      <vt:lpstr>Social</vt:lpstr>
      <vt:lpstr>Member Selection</vt:lpstr>
      <vt:lpstr>Member Involvement</vt:lpstr>
      <vt:lpstr>Education</vt:lpstr>
      <vt:lpstr>Social!_gjdgxs</vt:lpstr>
      <vt:lpstr>BUDGET!Print_Area</vt:lpstr>
      <vt:lpstr>BUDGET!Print_Titles</vt:lpstr>
      <vt:lpstr>'Deferred Maintenance'!Print_Titles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Sunnyhill Office</dc:creator>
  <cp:lastModifiedBy>Nicole Montford</cp:lastModifiedBy>
  <cp:lastPrinted>2020-12-09T22:18:26Z</cp:lastPrinted>
  <dcterms:created xsi:type="dcterms:W3CDTF">2019-03-11T20:47:21Z</dcterms:created>
  <dcterms:modified xsi:type="dcterms:W3CDTF">2022-03-29T04:15:30Z</dcterms:modified>
</cp:coreProperties>
</file>